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9E7CEE2A-0356-463F-81ED-D102C0E0FB3B}" xr6:coauthVersionLast="47" xr6:coauthVersionMax="47" xr10:uidLastSave="{00000000-0000-0000-0000-000000000000}"/>
  <bookViews>
    <workbookView xWindow="480" yWindow="30"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29" i="15"/>
  <c r="F30" i="15"/>
  <c r="F31" i="15"/>
  <c r="F33" i="15"/>
  <c r="AE27" i="15"/>
  <c r="AE24" i="15" s="1"/>
  <c r="N27" i="15"/>
  <c r="D24" i="15"/>
  <c r="R27" i="15" l="1"/>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<sst xmlns="http://schemas.openxmlformats.org/spreadsheetml/2006/main" count="4441" uniqueCount="592">
  <si>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</si>
  <si>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</si>
  <si>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</si>
  <si>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</si>
  <si>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</si>
  <si>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</si>
  <si>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</si>
  <si>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</si>
  <si>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</si>
  <si>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</si>
  <si>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</si>
  <si>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</si>
  <si>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</si>
  <si>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</si>
  <si>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</si>
  <si>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</si>
  <si>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</si>
  <si>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</si>
  <si>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</si>
  <si>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</si>
  <si>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</si>
  <si>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</si>
  <si>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</si>
  <si>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</si>
  <si>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</si>
  <si>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</si>
  <si>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</si>
  <si>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</si>
  <si>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</si>
  <si>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</si>
  <si>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</si>
  <si>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</si>
  <si>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</si>
  <si>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</si>
  <si>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</si>
  <si>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</si>
  <si>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</si>
  <si>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</si>
  <si>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</si>
  <si>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</si>
  <si>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</si>
  <si>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</si>
  <si>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</si>
  <si>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</si>
  <si>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</si>
  <si>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</si>
  <si>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</si>
  <si>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</si>
  <si>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</si>
  <si>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</si>
  <si>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</si>
  <si>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</si>
  <si>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</si>
  <si>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</si>
  <si>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</si>
  <si>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</si>
  <si>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</si>
  <si>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</si>
  <si>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</si>
  <si>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</si>
  <si>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</si>
  <si>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</si>
  <si>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</si>
  <si>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</si>
  <si>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</si>
  <si>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</si>
  <si>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</si>
  <si>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</si>
  <si>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</si>
  <si>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</si>
  <si>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</si>
  <si>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</si>
  <si>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</si>
  <si>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</si>
  <si>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</si>
  <si>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</si>
  <si>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</si>
  <si>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</si>
  <si>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</si>
  <si>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</si>
  <si>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</si>
  <si>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</si>
  <si>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</si>
  <si>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</si>
  <si>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</si>
  <si>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</si>
  <si>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</si>
  <si>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</si>
  <si>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</si>
  <si>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</si>
  <si>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</si>
  <si>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</si>
  <si>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</si>
  <si>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</si>
  <si>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</si>
  <si>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</si>
  <si>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</si>
  <si>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</si>
  <si>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</si>
  <si>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</si>
  <si>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</si>
  <si>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</si>
  <si>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</si>
  <si>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</si>
  <si>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</si>
  <si>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</si>
  <si>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</si>
  <si>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</si>
  <si>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</si>
  <si>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</si>
  <si>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</si>
  <si>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</si>
  <si>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</si>
  <si>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</si>
  <si>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</si>
  <si>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</si>
  <si>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</si>
  <si>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</si>
  <si>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</si>
  <si>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</si>
  <si>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</si>
  <si>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</si>
  <si>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</si>
  <si>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</si>
  <si>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</si>
  <si>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</si>
  <si>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</si>
  <si>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</si>
  <si>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</si>
  <si>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</si>
  <si>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</si>
  <si>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</si>
  <si>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</si>
  <si>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</si>
  <si>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</si>
  <si>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</si>
  <si>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</si>
  <si>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</si>
  <si>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</si>
  <si>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</si>
  <si>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</si>
  <si>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</si>
  <si>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</si>
  <si>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</si>
  <si>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</si>
  <si>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</si>
  <si>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</si>
  <si>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</si>
  <si>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</si>
  <si>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</si>
  <si>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</si>
  <si>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</si>
  <si>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</si>
  <si>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</si>
  <si>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</si>
  <si>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</si>
  <si>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</si>
  <si>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</si>
  <si>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</si>
  <si>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</si>
  <si>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</si>
  <si>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</si>
  <si>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</si>
  <si>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</si>
  <si>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</si>
  <si>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</si>
  <si>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</si>
  <si>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</si>
  <si>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</si>
  <si>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</si>
  <si>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</si>
  <si>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</si>
  <si>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</si>
  <si>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</si>
  <si>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</si>
  <si>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</si>
  <si>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</si>
  <si>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</si>
  <si>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</si>
  <si>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</si>
  <si>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</si>
  <si>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</si>
  <si>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</si>
  <si>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</si>
  <si>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</si>
  <si>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</si>
  <si>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</si>
  <si>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</si>
  <si>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</si>
  <si>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</si>
  <si>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</si>
  <si>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</si>
  <si>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</si>
  <si>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</si>
  <si>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</si>
  <si>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</si>
  <si>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</si>
  <si>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</si>
  <si>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</si>
  <si>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</si>
  <si>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</si>
  <si>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</si>
  <si>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</si>
  <si>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</si>
  <si>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</si>
  <si>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</si>
  <si>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</si>
  <si>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</si>
  <si>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</si>
  <si>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</si>
  <si>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</si>
  <si>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</si>
  <si>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</si>
  <si>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</si>
  <si>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</si>
  <si>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</si>
  <si>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</si>
  <si>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</si>
  <si>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</si>
  <si>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</si>
  <si>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</si>
  <si>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</si>
  <si>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</si>
  <si>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</si>
  <si>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</si>
  <si>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</si>
  <si>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</si>
  <si>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</si>
  <si>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</si>
  <si>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</si>
  <si>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</si>
  <si>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</si>
  <si>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</si>
  <si>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</si>
  <si>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</si>
  <si>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</si>
  <si>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</si>
  <si>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</si>
  <si>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</si>
  <si>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</si>
  <si>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</si>
  <si>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</si>
  <si>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</si>
  <si>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</si>
  <si>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</si>
  <si>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</si>
  <si>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</si>
  <si>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</si>
  <si>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</si>
  <si>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</si>
  <si>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</si>
  <si>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</si>
  <si>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</si>
  <si>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</si>
  <si>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</si>
  <si>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</si>
  <si>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</si>
  <si>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</si>
  <si>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</si>
  <si>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</si>
  <si>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</si>
  <si>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</si>
  <si>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</si>
  <si>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</si>
  <si>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</si>
  <si>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</si>
  <si>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</si>
  <si>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</si>
  <si>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</si>
  <si>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</si>
  <si>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</si>
  <si>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</si>
  <si>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</si>
  <si>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</si>
  <si>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</si>
  <si>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</si>
  <si>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</si>
  <si>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</si>
  <si>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</si>
  <si>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</si>
  <si>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</si>
  <si>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</si>
  <si>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</si>
  <si>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</si>
  <si>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</si>
  <si>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</si>
  <si>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</si>
  <si>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</si>
  <si>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</si>
  <si>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</si>
  <si>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</si>
  <si>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</si>
  <si>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</si>
  <si>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</si>
  <si>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</si>
  <si>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</si>
  <si>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</si>
  <si>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</si>
  <si>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</si>
  <si>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</si>
  <si>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</si>
  <si>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</si>
  <si>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</si>
  <si>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</si>
  <si>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</si>
  <si>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</si>
  <si>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</si>
  <si>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</si>
  <si>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</si>
  <si>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</si>
  <si>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</si>
  <si>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</si>
  <si>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</si>
  <si>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</si>
  <si>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</si>
  <si>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</si>
  <si>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</si>
  <si>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</si>
  <si>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</si>
  <si>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</si>
  <si>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</si>
  <si>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</si>
  <si>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</si>
  <si>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</si>
  <si>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</si>
  <si>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</si>
  <si>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</si>
  <si>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</si>
  <si>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</si>
  <si>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</si>
  <si>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</si>
  <si>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</si>
  <si>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</si>
  <si>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</si>
  <si>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</si>
  <si>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</si>
  <si>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</si>
  <si>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</si>
  <si>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</si>
  <si>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</si>
  <si>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</si>
  <si>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</si>
  <si>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</si>
  <si>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</si>
  <si>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</si>
  <si>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</si>
  <si>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</si>
  <si>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</si>
  <si>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</si>
  <si>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</si>
  <si>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</si>
  <si>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</si>
  <si>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</si>
  <si>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</si>
  <si>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</si>
  <si>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</si>
  <si>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</si>
  <si>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</si>
  <si>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</si>
  <si>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</si>
  <si>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</si>
  <si>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</si>
  <si>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</si>
  <si>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</si>
  <si>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</si>
  <si>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</si>
  <si>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</si>
  <si>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</si>
  <si>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</si>
  <si>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</si>
  <si>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</si>
  <si>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</si>
  <si>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</si>
  <si>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</si>
  <si>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</si>
  <si>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</si>
  <si>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</si>
  <si>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</si>
  <si>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</si>
  <si>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</si>
  <si>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</si>
  <si>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</si>
  <si>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</si>
  <si>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</si>
  <si>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</si>
  <si>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</si>
  <si>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</si>
  <si>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</si>
  <si>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</si>
  <si>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</si>
  <si>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</si>
  <si>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</si>
  <si>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</si>
  <si>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</si>
  <si>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</si>
  <si>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</si>
  <si>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</si>
  <si>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</si>
  <si>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</si>
  <si>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</si>
  <si>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</si>
  <si>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</si>
  <si>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</si>
  <si>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</si>
  <si>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</si>
  <si>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</si>
  <si>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</si>
  <si>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</si>
  <si>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</si>
  <si>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</si>
  <si>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</si>
  <si>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</si>
  <si>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</si>
  <si>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</si>
  <si>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</si>
  <si>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</si>
  <si>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</si>
  <si>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</si>
  <si>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</si>
  <si>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</si>
  <si>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</si>
  <si>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</si>
  <si>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</si>
  <si>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</si>
  <si>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</si>
  <si>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</si>
  <si>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</si>
  <si>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</si>
  <si>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</si>
  <si>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</si>
  <si>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</si>
  <si>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</si>
  <si>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</si>
  <si>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</si>
  <si>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</si>
  <si>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</si>
  <si>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</si>
  <si>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</si>
  <si>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</si>
  <si>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</si>
  <si>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</si>
  <si>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</si>
  <si>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</si>
  <si>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Утвержденный план</t>
  </si>
  <si>
    <t>Предложение по корректировке утвержденного плана</t>
  </si>
  <si>
    <t>M_00.0003.000003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</si>
  <si>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</si>
  <si>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</si>
  <si>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</si>
  <si>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</si>
  <si>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</si>
  <si>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</si>
  <si>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</si>
  <si>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</si>
  <si>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</si>
  <si>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</si>
  <si>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</si>
  <si>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</si>
  <si>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</si>
  <si>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</si>
  <si>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</si>
  <si>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</si>
  <si>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</si>
  <si>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</si>
  <si>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</si>
  <si>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</si>
  <si>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</si>
  <si>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</si>
  <si>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</si>
  <si>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</si>
  <si>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</si>
  <si>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</si>
  <si>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</si>
  <si>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</si>
  <si>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</si>
  <si>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</si>
  <si>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</si>
  <si>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</si>
  <si>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</si>
  <si>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</si>
  <si>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</si>
  <si>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</si>
  <si>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</si>
  <si>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</si>
  <si>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</si>
  <si>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</si>
  <si>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</si>
  <si>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</si>
  <si>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</si>
  <si>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</si>
  <si>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</si>
  <si>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</si>
  <si>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</si>
  <si>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</si>
  <si>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</si>
  <si>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</si>
  <si>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</si>
  <si>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</si>
  <si>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</si>
  <si>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</si>
  <si>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</si>
  <si>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</si>
  <si>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</si>
  <si>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</si>
  <si>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</si>
  <si>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</si>
  <si>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</si>
  <si>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</si>
  <si>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</si>
  <si>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</si>
  <si>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в рамках 2-го этапа реализации проекта, связанного с ростом стоимости отечественного оборудования. Смещение сроков выполнения работ по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</si>
  <si>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СМР, ПНР</t>
  </si>
  <si>
    <t>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</si>
  <si>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</si>
  <si>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</si>
  <si>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</si>
  <si>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"ВЕЛЛЭНЕРДЖИ"</t>
  </si>
  <si>
    <t>32 260,05;
32 260,05</t>
  </si>
  <si>
    <t>-</t>
  </si>
  <si>
    <t>32098,74975;
32 260,05</t>
  </si>
  <si>
    <t>АКЦИОНЕРНОЕ ОБЩЕСТВО "РЕМОНТЭНЕРГОМОНТАЖ И СЕРВИС"</t>
  </si>
  <si>
    <t>да</t>
  </si>
  <si>
    <t>https://com.roseltorg.ru/</t>
  </si>
  <si>
    <t>ИП</t>
  </si>
  <si>
    <t>СМР</t>
  </si>
  <si>
    <t>АО "РЭМиС"</t>
  </si>
  <si>
    <t>ИП-23-00029 от 28.02.2023</t>
  </si>
  <si>
    <t>ТМЦ</t>
  </si>
  <si>
    <t>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</si>
  <si>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</si>
  <si>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</si>
  <si>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ПД</t>
  </si>
  <si>
    <t>ПД-24-00190 от 10.09.2024</t>
  </si>
  <si>
    <t>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t>
  </si>
  <si>
    <t>Запрос предложений в электронной форме</t>
  </si>
  <si>
    <t>ОБЩЕСТВО С ОГРАНИЧЕННОЙ ОТВЕТСТВЕННОСТЬЮ "АМПЕР. КОМ"</t>
  </si>
  <si>
    <t>Закупочная процедура признана несостоявшейся</t>
  </si>
  <si>
    <t>ОБЩЕСТВО С ОГРАНИЧЕННОЙ ОТВЕТСТВЕННОСТЬЮ "ВЕЛЛЭНЕРДЖИ
"ОБЩЕСТВО С ОГРАНИЧЕННОЙ ОТВЕТСТВЕННОСТЬЮ "ЭКРА-СИБИРЬ"</t>
  </si>
  <si>
    <t>1о</t>
  </si>
  <si>
    <t>13897,11;
13830</t>
  </si>
  <si>
    <t>ОБЩЕСТВО С ОГРАНИЧЕННОЙ ОТВЕТСТВЕННОСТЬЮ "ВЕЛЛЭНЕРДЖИ"</t>
  </si>
  <si>
    <t>32514667401  </t>
  </si>
  <si>
    <t>ИП-25-00175 от 14.05.2025</t>
  </si>
  <si>
    <t>Закупочная процедура идет</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</si>
  <si>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</si>
  <si>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</si>
  <si>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</si>
  <si>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</si>
  <si>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</si>
  <si>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</si>
  <si>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</si>
  <si>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ИП-22-00125 от 19.05.2022</t>
  </si>
  <si>
    <t>Поставка линейно-регулировочных трансформаторов</t>
  </si>
  <si>
    <t>"Электромагистраль"</t>
  </si>
  <si>
    <t>Конкурентные переговоры в электронной форме</t>
  </si>
  <si>
    <t>ОБЩЕСТВО С ОГРАНИЧЕННОЙ 
ОТВЕТСТВЕННОСТЬЮ "ОСТЕРОН"; ОБЩЕСТВО С ОГРАНИЧЕННОЙ
ОТВЕТСТВЕННОСТЬЮ "ТОЛЬЯТТИНСКИЙ
ТРАНСФОРМАТОР"; ОБЩЕСТВО С ОГРАНИЧЕННОЙ 
ОТВЕТСТВЕННОСТЬЮ "ПМК ХОЛДИНГ"; ОБЩЕСТВО С ОГРАНИЧЕННОЙ 
ОТВЕТСТВЕННОСТЬЮ "СВЕРДЛОВЭЛЕКТРО- 
СИЛОВЫЕ ТРАНСФОРМАТОРЫ"</t>
  </si>
  <si>
    <t>48201,00; 48350,00; 48351,00; 48351,00</t>
  </si>
  <si>
    <t>47025,00; 47475,00; 48351,00; 47311,67</t>
  </si>
  <si>
    <t>ООО "Остерон"</t>
  </si>
  <si>
    <t>https://www.roseltorg.ru/</t>
  </si>
  <si>
    <t>ПД-19-00437 от 04.02.2020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</si>
  <si>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</si>
  <si>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</si>
  <si>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</si>
  <si>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775 от 02.11.2022; 
№ 775/1 от 11.09.2023</t>
  </si>
  <si>
    <t>см. комментарии ниже по этапам</t>
  </si>
  <si>
    <t>Смещение срока разработки ПСД по вине подрядчика. Заключено соглашение о зачете встречных требований со снижением суммы неустойки.</t>
  </si>
  <si>
    <t>Смещение сроков выполнения работ по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</si>
  <si>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Искитим</t>
  </si>
  <si>
    <t>не требуется</t>
  </si>
  <si>
    <t>не относится</t>
  </si>
  <si>
    <t>+</t>
  </si>
  <si>
    <t>6,38 МВА</t>
  </si>
  <si>
    <t xml:space="preserve">1. Обеспечение требований к надежности энергоснабжения и качеству электрической энергии устанавливаемыми в соответствии с законодательством Российской Федерации:
 - правила технической эксплуатации электрических станций и сетей РФ, утвержденные Приказом Минэнерго РФ от 19.06.2003 №229;
 - ГОСТ 32144-2013.
</t>
  </si>
  <si>
    <t xml:space="preserve">Установка ЛРТ на ПС позволит:
- осуществить возможность регулирования напряжения на шинах 10 кВ, что позволит обеспечить соответствующее качество электрической энергии поставляемой потребителю в соответствии с ГОСТ 32144-2013;  
- обеспечить требуемую категорию надежности электроснабжения потребителей путём питания ЗРУ-10 кВ от двух независимых источников питания, с возможностью использования АРВ на шинах 10 кВ.
</t>
  </si>
  <si>
    <t>ПС 220 кВ Южная</t>
  </si>
  <si>
    <t>52897,08 тыс. руб. с НДС на 1 ЛРТ 16 МВА</t>
  </si>
  <si>
    <t>1 очередь 1-го этапа - установка 1ЛРТ;
2 очередь 1-го этапа - установка 2ЛРТ;
3 очередь 1-го этапа - демонтаж 3Т-16.</t>
  </si>
  <si>
    <t>1. Жалобы потребителей в надзорные органы на низкое качество электроэнергии.
2. Нарушение категорийности электроснабжения существующих потребителей ПС 220 кВ Южная.
3. Отсуствие возможности вывода в ремонт выключателя 110 кВ без отключения ВЛ 110 кВ (ОВ-110 занят 3Т-16)</t>
  </si>
  <si>
    <t>С</t>
  </si>
  <si>
    <t>Сибирский Федеральный округ, Новосибирская область, г. Искитим</t>
  </si>
  <si>
    <t>Трансформатор масляный</t>
  </si>
  <si>
    <t>ТДН</t>
  </si>
  <si>
    <t>3Т</t>
  </si>
  <si>
    <t>110</t>
  </si>
  <si>
    <t>РБДГ-10</t>
  </si>
  <si>
    <t>РБА-1АТ</t>
  </si>
  <si>
    <t>РБА-2АТ</t>
  </si>
  <si>
    <t>2;3</t>
  </si>
  <si>
    <t>1;2;3</t>
  </si>
  <si>
    <t>80%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</si>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</sst>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561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562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568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569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569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569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569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569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570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569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569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569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571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569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105.79415666340519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572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17.304048330585598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14.522143884699087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M_00.0003.000003</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505</v>
      </c>
      <c r="F20" s="453"/>
      <c r="G20" s="440" t="s">
        <v>447</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95.074149486378744</v>
      </c>
      <c r="D24" s="261">
        <f t="shared" ref="D24:G24" si="0">D25+D26+D27+D32+D33</f>
        <v>105.79415666340519</v>
      </c>
      <c r="E24" s="262">
        <f>J24+N24+R24+V24+Z24+AE24</f>
        <v>17.304048330585598</v>
      </c>
      <c r="F24" s="262">
        <f t="shared" ref="F24:F26" si="1">N24+R24+V24+Z24+AE24</f>
        <v>0</v>
      </c>
      <c r="G24" s="253">
        <f t="shared" si="0"/>
        <v>8.0665725811180504</v>
      </c>
      <c r="H24" s="253">
        <f>H25+H26+H27+H32+H33</f>
        <v>0.96204599077150121</v>
      </c>
      <c r="I24" s="253" t="s">
        <v>424</v>
      </c>
      <c r="J24" s="261">
        <f>J25+J26+J27+J32+J33</f>
        <v>17.304048330585598</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0.96204599077150121</v>
      </c>
      <c r="AC24" s="264">
        <f>J24+N24+R24+V24+Z24</f>
        <v>17.304048330585598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79.43530427848799</v>
      </c>
      <c r="D27" s="261">
        <v>21.203291988705843</v>
      </c>
      <c r="E27" s="264">
        <f>J27+N27+R27+V27+Z27+AE27</f>
        <v>14.476406506391244</v>
      </c>
      <c r="F27" s="264">
        <f t="shared" ref="F27:F68" si="8">N27+R27+V27+Z27+AE27</f>
        <v>0</v>
      </c>
      <c r="G27" s="253">
        <v>8.0665725811180504</v>
      </c>
      <c r="H27" s="253">
        <f>SUM(H28:H31)</f>
        <v>0</v>
      </c>
      <c r="I27" s="253" t="s">
        <v>424</v>
      </c>
      <c r="J27" s="261">
        <f>SUM(J28:J31)</f>
        <v>14.476406506391244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14.476406506391244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7.4310203962370345</v>
      </c>
      <c r="F29" s="264">
        <f t="shared" si="8"/>
        <v>0</v>
      </c>
      <c r="G29" s="254" t="s">
        <v>424</v>
      </c>
      <c r="H29" s="254">
        <v>0</v>
      </c>
      <c r="I29" s="255">
        <v>0</v>
      </c>
      <c r="J29" s="263">
        <v>7.4310203962370345</v>
      </c>
      <c r="K29" s="265" t="s">
        <v>588</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7.4310203962370345</v>
      </c>
      <c r="AD29" s="204"/>
      <c r="AE29" s="274">
        <v>0</v>
      </c>
      <c r="AF29" s="276">
        <v>0</v>
      </c>
      <c r="AG29" s="278">
        <v>0</v>
      </c>
      <c r="AH29" s="278">
        <v>0</v>
      </c>
    </row>
    <row r="30" spans="1:34" x14ac:dyDescent="0.25">
      <c r="A30" s="58" t="s">
        <v>427</v>
      </c>
      <c r="B30" s="42" t="s">
        <v>164</v>
      </c>
      <c r="C30" s="255" t="s">
        <v>424</v>
      </c>
      <c r="D30" s="265" t="s">
        <v>424</v>
      </c>
      <c r="E30" s="264">
        <f t="shared" si="9"/>
        <v>2.1600060136363606</v>
      </c>
      <c r="F30" s="264">
        <f t="shared" si="8"/>
        <v>0</v>
      </c>
      <c r="G30" s="254" t="s">
        <v>424</v>
      </c>
      <c r="H30" s="254">
        <v>0</v>
      </c>
      <c r="I30" s="255">
        <v>0</v>
      </c>
      <c r="J30" s="263">
        <v>2.1600060136363606</v>
      </c>
      <c r="K30" s="265" t="s">
        <v>588</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2.1600060136363606</v>
      </c>
      <c r="AD30" s="204"/>
      <c r="AE30" s="274">
        <v>0</v>
      </c>
      <c r="AF30" s="274">
        <v>0</v>
      </c>
      <c r="AG30" s="278">
        <v>0</v>
      </c>
      <c r="AH30" s="278">
        <v>0</v>
      </c>
    </row>
    <row r="31" spans="1:34" x14ac:dyDescent="0.25">
      <c r="A31" s="58" t="s">
        <v>428</v>
      </c>
      <c r="B31" s="42" t="s">
        <v>162</v>
      </c>
      <c r="C31" s="255" t="s">
        <v>424</v>
      </c>
      <c r="D31" s="265" t="s">
        <v>424</v>
      </c>
      <c r="E31" s="264">
        <f t="shared" si="9"/>
        <v>4.8853800965178493</v>
      </c>
      <c r="F31" s="264">
        <f t="shared" si="8"/>
        <v>0</v>
      </c>
      <c r="G31" s="254" t="s">
        <v>424</v>
      </c>
      <c r="H31" s="254">
        <v>0</v>
      </c>
      <c r="I31" s="255">
        <v>0</v>
      </c>
      <c r="J31" s="263">
        <v>4.8853800965178493</v>
      </c>
      <c r="K31" s="265" t="s">
        <v>589</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4.8853800965178493</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15.638845207890757</v>
      </c>
      <c r="D33" s="263">
        <v>84.590864674699347</v>
      </c>
      <c r="E33" s="264">
        <f t="shared" si="9"/>
        <v>2.8276418241943539</v>
      </c>
      <c r="F33" s="264">
        <f t="shared" si="8"/>
        <v>0</v>
      </c>
      <c r="G33" s="254">
        <v>0</v>
      </c>
      <c r="H33" s="254">
        <v>0.96204599077150121</v>
      </c>
      <c r="I33" s="254">
        <f>I31</f>
        <v>0</v>
      </c>
      <c r="J33" s="263">
        <v>2.8276418241943539</v>
      </c>
      <c r="K33" s="263" t="str">
        <f>K31</f>
        <v>1;2;3</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0.96204599077150121</v>
      </c>
      <c r="AC33" s="264">
        <f t="shared" si="7"/>
        <v>2.8276418241943539</v>
      </c>
      <c r="AE33" s="274">
        <v>0</v>
      </c>
      <c r="AF33" s="274">
        <f>AF31</f>
        <v>0</v>
      </c>
      <c r="AG33" s="278">
        <v>0</v>
      </c>
      <c r="AH33" s="278">
        <v>0</v>
      </c>
    </row>
    <row r="34" spans="1:34" ht="47.25" x14ac:dyDescent="0.25">
      <c r="A34" s="60" t="s">
        <v>61</v>
      </c>
      <c r="B34" s="59" t="s">
        <v>170</v>
      </c>
      <c r="C34" s="253">
        <f>SUM(C35:C38)</f>
        <v>82.253386784699089</v>
      </c>
      <c r="D34" s="261">
        <f t="shared" ref="D34:G34" si="10">SUM(D35:D38)</f>
        <v>88.977440104699085</v>
      </c>
      <c r="E34" s="262">
        <f t="shared" si="9"/>
        <v>14.522143884699087</v>
      </c>
      <c r="F34" s="262">
        <f t="shared" si="8"/>
        <v>0</v>
      </c>
      <c r="G34" s="253">
        <f t="shared" si="10"/>
        <v>6.7240533200000003</v>
      </c>
      <c r="H34" s="253">
        <f>SUM(H35:H38)</f>
        <v>0</v>
      </c>
      <c r="I34" s="253" t="s">
        <v>424</v>
      </c>
      <c r="J34" s="261">
        <f>SUM(J35:J38)</f>
        <v>14.522143884699087</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14.522143884699087</v>
      </c>
      <c r="AD34" s="204"/>
      <c r="AE34" s="273">
        <f>SUM(AE35:AE38)</f>
        <v>0</v>
      </c>
      <c r="AF34" s="273" t="s">
        <v>424</v>
      </c>
      <c r="AG34" s="278">
        <v>0</v>
      </c>
      <c r="AH34" s="278">
        <v>0</v>
      </c>
    </row>
    <row r="35" spans="1:34" x14ac:dyDescent="0.25">
      <c r="A35" s="60" t="s">
        <v>169</v>
      </c>
      <c r="B35" s="42" t="s">
        <v>168</v>
      </c>
      <c r="C35" s="254">
        <v>2.669090629999999</v>
      </c>
      <c r="D35" s="263">
        <v>3.4898018299999993</v>
      </c>
      <c r="E35" s="264">
        <f t="shared" si="9"/>
        <v>0</v>
      </c>
      <c r="F35" s="264">
        <f t="shared" si="8"/>
        <v>0</v>
      </c>
      <c r="G35" s="254">
        <v>0.82071119999999997</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33.306453646042655</v>
      </c>
      <c r="D36" s="263">
        <v>33.306453646042655</v>
      </c>
      <c r="E36" s="264">
        <f t="shared" si="9"/>
        <v>7.4020865160426572</v>
      </c>
      <c r="F36" s="264">
        <f t="shared" si="8"/>
        <v>0</v>
      </c>
      <c r="G36" s="254">
        <v>0</v>
      </c>
      <c r="H36" s="254">
        <v>0</v>
      </c>
      <c r="I36" s="254">
        <v>0</v>
      </c>
      <c r="J36" s="263">
        <v>7.4020865160426572</v>
      </c>
      <c r="K36" s="265" t="s">
        <v>588</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7.4020865160426572</v>
      </c>
      <c r="AE36" s="274">
        <v>0</v>
      </c>
      <c r="AF36" s="275">
        <v>0</v>
      </c>
      <c r="AG36" s="278">
        <v>0</v>
      </c>
      <c r="AH36" s="278">
        <v>0</v>
      </c>
    </row>
    <row r="37" spans="1:34" x14ac:dyDescent="0.25">
      <c r="A37" s="60" t="s">
        <v>165</v>
      </c>
      <c r="B37" s="42" t="s">
        <v>164</v>
      </c>
      <c r="C37" s="254">
        <v>39.429371940749995</v>
      </c>
      <c r="D37" s="263">
        <v>45.307053940749995</v>
      </c>
      <c r="E37" s="264">
        <f t="shared" si="9"/>
        <v>2.1515956807500003</v>
      </c>
      <c r="F37" s="264">
        <f t="shared" si="8"/>
        <v>0</v>
      </c>
      <c r="G37" s="254">
        <v>5.8776820000000001</v>
      </c>
      <c r="H37" s="254">
        <v>0</v>
      </c>
      <c r="I37" s="254">
        <v>0</v>
      </c>
      <c r="J37" s="263">
        <v>2.1515956807500003</v>
      </c>
      <c r="K37" s="265" t="s">
        <v>588</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2.1515956807500003</v>
      </c>
      <c r="AE37" s="274">
        <v>0</v>
      </c>
      <c r="AF37" s="275">
        <v>0</v>
      </c>
      <c r="AG37" s="278">
        <v>0</v>
      </c>
      <c r="AH37" s="278">
        <v>0</v>
      </c>
    </row>
    <row r="38" spans="1:34" x14ac:dyDescent="0.25">
      <c r="A38" s="60" t="s">
        <v>163</v>
      </c>
      <c r="B38" s="42" t="s">
        <v>162</v>
      </c>
      <c r="C38" s="254">
        <v>6.8484705679064302</v>
      </c>
      <c r="D38" s="263">
        <v>6.8741306879064297</v>
      </c>
      <c r="E38" s="264">
        <f t="shared" si="9"/>
        <v>4.9684616879064292</v>
      </c>
      <c r="F38" s="264">
        <f t="shared" si="8"/>
        <v>0</v>
      </c>
      <c r="G38" s="254">
        <v>2.5660120000000002E-2</v>
      </c>
      <c r="H38" s="254">
        <v>0</v>
      </c>
      <c r="I38" s="254">
        <v>0</v>
      </c>
      <c r="J38" s="263">
        <v>4.9684616879064292</v>
      </c>
      <c r="K38" s="265" t="s">
        <v>589</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4.9684616879064292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11</v>
      </c>
      <c r="D46" s="263">
        <v>8</v>
      </c>
      <c r="E46" s="264">
        <f t="shared" si="9"/>
        <v>4</v>
      </c>
      <c r="F46" s="264">
        <f t="shared" si="8"/>
        <v>0</v>
      </c>
      <c r="G46" s="254">
        <v>0</v>
      </c>
      <c r="H46" s="254">
        <v>6</v>
      </c>
      <c r="I46" s="255" t="s">
        <v>59</v>
      </c>
      <c r="J46" s="263">
        <v>4</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6</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11</v>
      </c>
      <c r="D54" s="263">
        <v>8</v>
      </c>
      <c r="E54" s="264">
        <f t="shared" si="9"/>
        <v>4</v>
      </c>
      <c r="F54" s="264">
        <f t="shared" si="8"/>
        <v>0</v>
      </c>
      <c r="G54" s="254">
        <v>0</v>
      </c>
      <c r="H54" s="254">
        <v>6</v>
      </c>
      <c r="I54" s="255" t="s">
        <v>59</v>
      </c>
      <c r="J54" s="263">
        <v>4</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6</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79.457054762039874</v>
      </c>
      <c r="D56" s="263">
        <v>88.977440118949076</v>
      </c>
      <c r="E56" s="264">
        <f t="shared" si="9"/>
        <v>21.246197218949099</v>
      </c>
      <c r="F56" s="264">
        <f t="shared" si="8"/>
        <v>0</v>
      </c>
      <c r="G56" s="254">
        <v>0</v>
      </c>
      <c r="H56" s="254">
        <v>11.725811862039889</v>
      </c>
      <c r="I56" s="255" t="s">
        <v>59</v>
      </c>
      <c r="J56" s="263">
        <v>21.246197218949099</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11.725811862039889</v>
      </c>
      <c r="AC56" s="264">
        <f t="shared" si="7"/>
        <v>21.246197218949099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11</v>
      </c>
      <c r="D61" s="263">
        <v>8</v>
      </c>
      <c r="E61" s="264">
        <f t="shared" si="9"/>
        <v>4</v>
      </c>
      <c r="F61" s="264">
        <f t="shared" si="8"/>
        <v>0</v>
      </c>
      <c r="G61" s="254">
        <v>0</v>
      </c>
      <c r="H61" s="254">
        <v>6</v>
      </c>
      <c r="I61" s="255" t="s">
        <v>59</v>
      </c>
      <c r="J61" s="263">
        <v>4</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6</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M_00.0003.000003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506</v>
      </c>
      <c r="AY22" s="481" t="s">
        <v>507</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46019</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109766.63988400654</v>
      </c>
      <c r="Q26" s="173" t="s">
        <v>424</v>
      </c>
      <c r="R26" s="175">
        <f>SUM(R27:R86)</f>
        <v>109827.32191400655</v>
      </c>
      <c r="S26" s="173" t="s">
        <v>424</v>
      </c>
      <c r="T26" s="173" t="s">
        <v>424</v>
      </c>
      <c r="U26" s="173" t="s">
        <v>424</v>
      </c>
      <c r="V26" s="173" t="s">
        <v>424</v>
      </c>
      <c r="W26" s="173" t="s">
        <v>424</v>
      </c>
      <c r="X26" s="173" t="s">
        <v>424</v>
      </c>
      <c r="Y26" s="173" t="s">
        <v>424</v>
      </c>
      <c r="Z26" s="173" t="s">
        <v>424</v>
      </c>
      <c r="AA26" s="173" t="s">
        <v>424</v>
      </c>
      <c r="AB26" s="175">
        <f>SUM(AB27:AB86)</f>
        <v>88682.721749999997</v>
      </c>
      <c r="AC26" s="173" t="s">
        <v>424</v>
      </c>
      <c r="AD26" s="175">
        <f>SUM(AD27:AD86)</f>
        <v>100436.93685999999</v>
      </c>
      <c r="AE26" s="175">
        <f>SUM(AE27:AE86)</f>
        <v>13897.11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76899.626649999991</v>
      </c>
      <c r="AY26" s="175">
        <f t="shared" si="46"/>
        <v>87044.844779999985</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32260.050490000001</v>
      </c>
      <c r="Q27" s="205" t="s">
        <v>514</v>
      </c>
      <c r="R27" s="206">
        <v>32260.050490000001</v>
      </c>
      <c r="S27" s="205" t="s">
        <v>515</v>
      </c>
      <c r="T27" s="205" t="s">
        <v>515</v>
      </c>
      <c r="U27" s="205">
        <v>3</v>
      </c>
      <c r="V27" s="205">
        <v>2</v>
      </c>
      <c r="W27" s="205" t="s">
        <v>516</v>
      </c>
      <c r="X27" s="205" t="s">
        <v>517</v>
      </c>
      <c r="Y27" s="205" t="s">
        <v>518</v>
      </c>
      <c r="Z27" s="205">
        <v>1</v>
      </c>
      <c r="AA27" s="205" t="s">
        <v>519</v>
      </c>
      <c r="AB27" s="206">
        <v>32098.749749999999</v>
      </c>
      <c r="AC27" s="205" t="s">
        <v>520</v>
      </c>
      <c r="AD27" s="206">
        <v>38518.4997</v>
      </c>
      <c r="AE27" s="247">
        <f>IF(IFERROR(AD27-AY27,"нд")&lt;0,0,IFERROR(AD27-AY27,"нд"))</f>
        <v>0</v>
      </c>
      <c r="AF27" s="205">
        <v>32212009253</v>
      </c>
      <c r="AG27" s="205" t="s">
        <v>521</v>
      </c>
      <c r="AH27" s="205" t="s">
        <v>522</v>
      </c>
      <c r="AI27" s="207">
        <v>44926</v>
      </c>
      <c r="AJ27" s="207">
        <v>44925</v>
      </c>
      <c r="AK27" s="207">
        <v>44947</v>
      </c>
      <c r="AL27" s="207">
        <v>44965</v>
      </c>
      <c r="AM27" s="205" t="s">
        <v>424</v>
      </c>
      <c r="AN27" s="205" t="s">
        <v>424</v>
      </c>
      <c r="AO27" s="205" t="s">
        <v>424</v>
      </c>
      <c r="AP27" s="205" t="s">
        <v>424</v>
      </c>
      <c r="AQ27" s="207">
        <v>44985</v>
      </c>
      <c r="AR27" s="207">
        <v>44985</v>
      </c>
      <c r="AS27" s="207">
        <v>44985</v>
      </c>
      <c r="AT27" s="207">
        <v>44985</v>
      </c>
      <c r="AU27" s="207">
        <v>45307</v>
      </c>
      <c r="AV27" s="205" t="s">
        <v>424</v>
      </c>
      <c r="AW27" s="205" t="s">
        <v>424</v>
      </c>
      <c r="AX27" s="208">
        <v>32519.598029999994</v>
      </c>
      <c r="AY27" s="208">
        <v>39023.517619999999</v>
      </c>
      <c r="AZ27" s="206" t="s">
        <v>523</v>
      </c>
      <c r="BA27" s="206" t="s">
        <v>524</v>
      </c>
      <c r="BB27" s="206" t="s">
        <v>525</v>
      </c>
      <c r="BC27" s="206" t="s">
        <v>526</v>
      </c>
      <c r="BD27" s="206" t="str">
        <f>CONCATENATE(BB27,", ",BA27,", ",N27,", ","договор № ",BC27)</f>
        <v>АО "РЭМиС", СМР, 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договор № ИП-23-00029 от 28.02.2023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513</v>
      </c>
      <c r="P28" s="206">
        <v>5817</v>
      </c>
      <c r="Q28" s="205" t="s">
        <v>514</v>
      </c>
      <c r="R28" s="206">
        <v>5877.6820299999999</v>
      </c>
      <c r="S28" s="205" t="s">
        <v>529</v>
      </c>
      <c r="T28" s="205" t="s">
        <v>529</v>
      </c>
      <c r="U28" s="205">
        <v>2</v>
      </c>
      <c r="V28" s="205">
        <v>1</v>
      </c>
      <c r="W28" s="205" t="s">
        <v>530</v>
      </c>
      <c r="X28" s="205">
        <v>5877.6819999999998</v>
      </c>
      <c r="Y28" s="205" t="s">
        <v>518</v>
      </c>
      <c r="Z28" s="205">
        <v>1</v>
      </c>
      <c r="AA28" s="205">
        <v>5877.6819999999998</v>
      </c>
      <c r="AB28" s="206">
        <v>5877.6819999999998</v>
      </c>
      <c r="AC28" s="205" t="s">
        <v>530</v>
      </c>
      <c r="AD28" s="206">
        <v>7053.2183999999997</v>
      </c>
      <c r="AE28" s="247">
        <f t="shared" ref="AE28:AE86" si="49">IF(IFERROR(AD28-AY28,"нд")&lt;0,0,IFERROR(AD28-AY28,"нд"))</f>
        <v>0</v>
      </c>
      <c r="AF28" s="205">
        <v>32413857906</v>
      </c>
      <c r="AG28" s="205" t="s">
        <v>521</v>
      </c>
      <c r="AH28" s="205" t="s">
        <v>522</v>
      </c>
      <c r="AI28" s="207">
        <v>45504</v>
      </c>
      <c r="AJ28" s="207">
        <v>45504</v>
      </c>
      <c r="AK28" s="207">
        <v>45512</v>
      </c>
      <c r="AL28" s="207">
        <v>45524</v>
      </c>
      <c r="AM28" s="205" t="s">
        <v>424</v>
      </c>
      <c r="AN28" s="205" t="s">
        <v>424</v>
      </c>
      <c r="AO28" s="205" t="s">
        <v>424</v>
      </c>
      <c r="AP28" s="205" t="s">
        <v>424</v>
      </c>
      <c r="AQ28" s="207">
        <v>45545</v>
      </c>
      <c r="AR28" s="207">
        <v>45545</v>
      </c>
      <c r="AS28" s="207">
        <v>45545</v>
      </c>
      <c r="AT28" s="207">
        <v>45545</v>
      </c>
      <c r="AU28" s="207">
        <v>45644</v>
      </c>
      <c r="AV28" s="205" t="s">
        <v>424</v>
      </c>
      <c r="AW28" s="205" t="s">
        <v>424</v>
      </c>
      <c r="AX28" s="206">
        <v>5877.6819999999998</v>
      </c>
      <c r="AY28" s="206">
        <v>7053.2183999999997</v>
      </c>
      <c r="AZ28" s="206" t="s">
        <v>531</v>
      </c>
      <c r="BA28" s="206" t="s">
        <v>527</v>
      </c>
      <c r="BB28" s="206" t="s">
        <v>530</v>
      </c>
      <c r="BC28" s="206" t="s">
        <v>532</v>
      </c>
      <c r="BD28" s="206" t="str">
        <f t="shared" ref="BD28:BD86" si="50">CONCATENATE(BB28,", ",BA28,", ",N28,", ","договор № ",BC28)</f>
        <v>ОБЩЕСТВО С ОГРАНИЧЕННОЙ ОТВЕТСТВЕННОСТЬЮ "ЭКРА-СИБИРЬ", ТМЦ, 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 договор № ПД-24-00190 от 10.09.2024</v>
      </c>
    </row>
    <row r="29" spans="1:56" s="209" customFormat="1" ht="13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533</v>
      </c>
      <c r="O29" s="205" t="s">
        <v>513</v>
      </c>
      <c r="P29" s="206">
        <v>4497.8522793983993</v>
      </c>
      <c r="Q29" s="205" t="s">
        <v>514</v>
      </c>
      <c r="R29" s="206">
        <v>4497.8522793983993</v>
      </c>
      <c r="S29" s="205" t="s">
        <v>534</v>
      </c>
      <c r="T29" s="205" t="s">
        <v>534</v>
      </c>
      <c r="U29" s="205">
        <v>3</v>
      </c>
      <c r="V29" s="205">
        <v>1</v>
      </c>
      <c r="W29" s="205" t="s">
        <v>535</v>
      </c>
      <c r="X29" s="205">
        <v>4497.8522800000001</v>
      </c>
      <c r="Y29" s="205" t="s">
        <v>535</v>
      </c>
      <c r="Z29" s="205" t="s">
        <v>518</v>
      </c>
      <c r="AA29" s="205" t="s">
        <v>518</v>
      </c>
      <c r="AB29" s="206" t="s">
        <v>518</v>
      </c>
      <c r="AC29" s="205" t="s">
        <v>518</v>
      </c>
      <c r="AD29" s="206" t="s">
        <v>518</v>
      </c>
      <c r="AE29" s="247" t="str">
        <f t="shared" si="49"/>
        <v>нд</v>
      </c>
      <c r="AF29" s="205">
        <v>32514468255</v>
      </c>
      <c r="AG29" s="205" t="s">
        <v>521</v>
      </c>
      <c r="AH29" s="205" t="s">
        <v>522</v>
      </c>
      <c r="AI29" s="207">
        <v>45688</v>
      </c>
      <c r="AJ29" s="207">
        <v>45688</v>
      </c>
      <c r="AK29" s="207">
        <v>45700</v>
      </c>
      <c r="AL29" s="207">
        <v>45715</v>
      </c>
      <c r="AM29" s="205" t="s">
        <v>424</v>
      </c>
      <c r="AN29" s="205" t="s">
        <v>424</v>
      </c>
      <c r="AO29" s="205" t="s">
        <v>424</v>
      </c>
      <c r="AP29" s="205" t="s">
        <v>424</v>
      </c>
      <c r="AQ29" s="207" t="s">
        <v>518</v>
      </c>
      <c r="AR29" s="207" t="s">
        <v>518</v>
      </c>
      <c r="AS29" s="207" t="s">
        <v>518</v>
      </c>
      <c r="AT29" s="207" t="s">
        <v>518</v>
      </c>
      <c r="AU29" s="207" t="s">
        <v>518</v>
      </c>
      <c r="AV29" s="205" t="s">
        <v>424</v>
      </c>
      <c r="AW29" s="205" t="s">
        <v>424</v>
      </c>
      <c r="AX29" s="206">
        <v>0</v>
      </c>
      <c r="AY29" s="206">
        <v>0</v>
      </c>
      <c r="AZ29" s="206" t="s">
        <v>523</v>
      </c>
      <c r="BA29" s="206" t="s">
        <v>524</v>
      </c>
      <c r="BB29" s="206" t="s">
        <v>518</v>
      </c>
      <c r="BC29" s="206" t="s">
        <v>536</v>
      </c>
      <c r="BD29" s="206" t="str">
        <f t="shared" si="50"/>
        <v>-, СМР, 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 договор № Закупочная процедура признана несостоявшейся</v>
      </c>
    </row>
    <row r="30" spans="1:56" s="209" customFormat="1" ht="13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511</v>
      </c>
      <c r="N30" s="205" t="s">
        <v>533</v>
      </c>
      <c r="O30" s="205" t="s">
        <v>513</v>
      </c>
      <c r="P30" s="206">
        <v>13980.99511</v>
      </c>
      <c r="Q30" s="205" t="s">
        <v>514</v>
      </c>
      <c r="R30" s="206">
        <v>13980.99511</v>
      </c>
      <c r="S30" s="205" t="s">
        <v>515</v>
      </c>
      <c r="T30" s="205" t="s">
        <v>515</v>
      </c>
      <c r="U30" s="205">
        <v>3</v>
      </c>
      <c r="V30" s="205">
        <v>2</v>
      </c>
      <c r="W30" s="205" t="s">
        <v>537</v>
      </c>
      <c r="X30" s="205">
        <v>13981</v>
      </c>
      <c r="Y30" s="205" t="s">
        <v>518</v>
      </c>
      <c r="Z30" s="205" t="s">
        <v>538</v>
      </c>
      <c r="AA30" s="205" t="s">
        <v>539</v>
      </c>
      <c r="AB30" s="206">
        <v>13897.11</v>
      </c>
      <c r="AC30" s="205" t="s">
        <v>540</v>
      </c>
      <c r="AD30" s="206">
        <v>13897.11</v>
      </c>
      <c r="AE30" s="247">
        <f t="shared" si="49"/>
        <v>13897.11</v>
      </c>
      <c r="AF30" s="205" t="s">
        <v>541</v>
      </c>
      <c r="AG30" s="205" t="s">
        <v>521</v>
      </c>
      <c r="AH30" s="205" t="s">
        <v>522</v>
      </c>
      <c r="AI30" s="207">
        <v>45747</v>
      </c>
      <c r="AJ30" s="207">
        <v>45744</v>
      </c>
      <c r="AK30" s="207">
        <v>45761</v>
      </c>
      <c r="AL30" s="207">
        <v>45769</v>
      </c>
      <c r="AM30" s="205" t="s">
        <v>424</v>
      </c>
      <c r="AN30" s="205" t="s">
        <v>424</v>
      </c>
      <c r="AO30" s="205" t="s">
        <v>424</v>
      </c>
      <c r="AP30" s="205" t="s">
        <v>424</v>
      </c>
      <c r="AQ30" s="207">
        <v>45789</v>
      </c>
      <c r="AR30" s="207">
        <v>45791</v>
      </c>
      <c r="AS30" s="207">
        <v>45789</v>
      </c>
      <c r="AT30" s="207">
        <v>45791</v>
      </c>
      <c r="AU30" s="207">
        <v>45991</v>
      </c>
      <c r="AV30" s="205" t="s">
        <v>424</v>
      </c>
      <c r="AW30" s="205" t="s">
        <v>424</v>
      </c>
      <c r="AX30" s="206">
        <v>4362.2559899999997</v>
      </c>
      <c r="AY30" s="206">
        <v>0</v>
      </c>
      <c r="AZ30" s="206" t="s">
        <v>523</v>
      </c>
      <c r="BA30" s="206" t="s">
        <v>524</v>
      </c>
      <c r="BB30" s="206" t="s">
        <v>540</v>
      </c>
      <c r="BC30" s="206" t="s">
        <v>542</v>
      </c>
      <c r="BD30" s="206" t="str">
        <f t="shared" si="50"/>
        <v>ОБЩЕСТВО С ОГРАНИЧЕННОЙ ОТВЕТСТВЕННОСТЬЮ "ВЕЛЛЭНЕРДЖИ", СМР, 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 договор № ИП-25-00175 от 14.05.2025</v>
      </c>
    </row>
    <row r="31" spans="1:56" s="209" customFormat="1" ht="13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511</v>
      </c>
      <c r="N31" s="205" t="s">
        <v>533</v>
      </c>
      <c r="O31" s="205" t="s">
        <v>513</v>
      </c>
      <c r="P31" s="206">
        <v>13980.99511</v>
      </c>
      <c r="Q31" s="205" t="s">
        <v>514</v>
      </c>
      <c r="R31" s="206">
        <v>13980.99511</v>
      </c>
      <c r="S31" s="205" t="s">
        <v>515</v>
      </c>
      <c r="T31" s="205" t="s">
        <v>515</v>
      </c>
      <c r="U31" s="205">
        <v>3</v>
      </c>
      <c r="V31" s="205" t="s">
        <v>424</v>
      </c>
      <c r="W31" s="205" t="s">
        <v>424</v>
      </c>
      <c r="X31" s="205" t="s">
        <v>424</v>
      </c>
      <c r="Y31" s="205" t="s">
        <v>424</v>
      </c>
      <c r="Z31" s="205" t="s">
        <v>424</v>
      </c>
      <c r="AA31" s="205" t="s">
        <v>424</v>
      </c>
      <c r="AB31" s="206" t="s">
        <v>424</v>
      </c>
      <c r="AC31" s="205" t="s">
        <v>424</v>
      </c>
      <c r="AD31" s="206" t="s">
        <v>424</v>
      </c>
      <c r="AE31" s="247" t="str">
        <f t="shared" si="49"/>
        <v>нд</v>
      </c>
      <c r="AF31" s="205" t="s">
        <v>541</v>
      </c>
      <c r="AG31" s="205" t="s">
        <v>521</v>
      </c>
      <c r="AH31" s="205" t="s">
        <v>522</v>
      </c>
      <c r="AI31" s="207">
        <v>45747</v>
      </c>
      <c r="AJ31" s="207">
        <v>45744</v>
      </c>
      <c r="AK31" s="207">
        <v>45761</v>
      </c>
      <c r="AL31" s="207">
        <v>45768</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523</v>
      </c>
      <c r="BA31" s="206" t="s">
        <v>524</v>
      </c>
      <c r="BB31" s="206" t="s">
        <v>518</v>
      </c>
      <c r="BC31" s="206" t="s">
        <v>543</v>
      </c>
      <c r="BD31" s="206" t="str">
        <f t="shared" si="50"/>
        <v>-, СМР, 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 договор № Закупочная процедура идет</v>
      </c>
    </row>
    <row r="32" spans="1:56" s="209" customFormat="1" ht="168.7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544</v>
      </c>
      <c r="N32" s="205" t="s">
        <v>545</v>
      </c>
      <c r="O32" s="205" t="s">
        <v>513</v>
      </c>
      <c r="P32" s="206">
        <v>5958.9</v>
      </c>
      <c r="Q32" s="205" t="s">
        <v>514</v>
      </c>
      <c r="R32" s="206">
        <v>5958.9</v>
      </c>
      <c r="S32" s="205" t="s">
        <v>515</v>
      </c>
      <c r="T32" s="205" t="s">
        <v>515</v>
      </c>
      <c r="U32" s="205">
        <v>3</v>
      </c>
      <c r="V32" s="205">
        <v>4</v>
      </c>
      <c r="W32" s="205" t="s">
        <v>546</v>
      </c>
      <c r="X32" s="205" t="s">
        <v>547</v>
      </c>
      <c r="Y32" s="205" t="s">
        <v>518</v>
      </c>
      <c r="Z32" s="205">
        <v>1</v>
      </c>
      <c r="AA32" s="205" t="s">
        <v>548</v>
      </c>
      <c r="AB32" s="206">
        <v>5338.18</v>
      </c>
      <c r="AC32" s="205" t="s">
        <v>549</v>
      </c>
      <c r="AD32" s="206">
        <v>3202.9087599999998</v>
      </c>
      <c r="AE32" s="247">
        <f t="shared" si="49"/>
        <v>0</v>
      </c>
      <c r="AF32" s="205">
        <v>32211273982</v>
      </c>
      <c r="AG32" s="205" t="s">
        <v>521</v>
      </c>
      <c r="AH32" s="205" t="s">
        <v>522</v>
      </c>
      <c r="AI32" s="207">
        <v>44621</v>
      </c>
      <c r="AJ32" s="207">
        <v>44651</v>
      </c>
      <c r="AK32" s="207">
        <v>44673</v>
      </c>
      <c r="AL32" s="207">
        <v>44680</v>
      </c>
      <c r="AM32" s="205" t="s">
        <v>424</v>
      </c>
      <c r="AN32" s="205" t="s">
        <v>424</v>
      </c>
      <c r="AO32" s="205" t="s">
        <v>424</v>
      </c>
      <c r="AP32" s="205" t="s">
        <v>424</v>
      </c>
      <c r="AQ32" s="207">
        <v>44700</v>
      </c>
      <c r="AR32" s="207">
        <v>44700</v>
      </c>
      <c r="AS32" s="207">
        <v>44700</v>
      </c>
      <c r="AT32" s="207">
        <v>44700</v>
      </c>
      <c r="AU32" s="207">
        <v>45290</v>
      </c>
      <c r="AV32" s="205" t="s">
        <v>424</v>
      </c>
      <c r="AW32" s="205" t="s">
        <v>424</v>
      </c>
      <c r="AX32" s="206">
        <v>2669.0906300000001</v>
      </c>
      <c r="AY32" s="206">
        <v>3202.9087599999998</v>
      </c>
      <c r="AZ32" s="206" t="s">
        <v>523</v>
      </c>
      <c r="BA32" s="206" t="s">
        <v>544</v>
      </c>
      <c r="BB32" s="206" t="s">
        <v>550</v>
      </c>
      <c r="BC32" s="206" t="s">
        <v>551</v>
      </c>
      <c r="BD32" s="206" t="str">
        <f t="shared" si="50"/>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ИП-22-00125 от 19.05.2022</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527</v>
      </c>
      <c r="N33" s="205" t="s">
        <v>552</v>
      </c>
      <c r="O33" s="205" t="s">
        <v>553</v>
      </c>
      <c r="P33" s="206">
        <v>33270.846894608141</v>
      </c>
      <c r="Q33" s="205" t="s">
        <v>514</v>
      </c>
      <c r="R33" s="206">
        <v>33270.846894608141</v>
      </c>
      <c r="S33" s="205" t="s">
        <v>554</v>
      </c>
      <c r="T33" s="205" t="s">
        <v>554</v>
      </c>
      <c r="U33" s="205">
        <v>3</v>
      </c>
      <c r="V33" s="205">
        <v>4</v>
      </c>
      <c r="W33" s="205" t="s">
        <v>555</v>
      </c>
      <c r="X33" s="205" t="s">
        <v>556</v>
      </c>
      <c r="Y33" s="205" t="s">
        <v>518</v>
      </c>
      <c r="Z33" s="205">
        <v>3</v>
      </c>
      <c r="AA33" s="205" t="s">
        <v>557</v>
      </c>
      <c r="AB33" s="206">
        <v>31471</v>
      </c>
      <c r="AC33" s="205" t="s">
        <v>558</v>
      </c>
      <c r="AD33" s="206">
        <v>37765.199999999997</v>
      </c>
      <c r="AE33" s="247">
        <f t="shared" si="49"/>
        <v>0</v>
      </c>
      <c r="AF33" s="205">
        <v>31908466928</v>
      </c>
      <c r="AG33" s="205" t="s">
        <v>521</v>
      </c>
      <c r="AH33" s="205" t="s">
        <v>559</v>
      </c>
      <c r="AI33" s="207">
        <v>43769</v>
      </c>
      <c r="AJ33" s="207">
        <v>43769</v>
      </c>
      <c r="AK33" s="207">
        <v>43782</v>
      </c>
      <c r="AL33" s="207">
        <v>43824</v>
      </c>
      <c r="AM33" s="205" t="s">
        <v>424</v>
      </c>
      <c r="AN33" s="205" t="s">
        <v>424</v>
      </c>
      <c r="AO33" s="205" t="s">
        <v>424</v>
      </c>
      <c r="AP33" s="205" t="s">
        <v>424</v>
      </c>
      <c r="AQ33" s="207">
        <v>43844</v>
      </c>
      <c r="AR33" s="207">
        <v>43865</v>
      </c>
      <c r="AS33" s="207">
        <v>43844</v>
      </c>
      <c r="AT33" s="207">
        <v>43975</v>
      </c>
      <c r="AU33" s="207">
        <v>43983</v>
      </c>
      <c r="AV33" s="205" t="s">
        <v>424</v>
      </c>
      <c r="AW33" s="205" t="s">
        <v>424</v>
      </c>
      <c r="AX33" s="206">
        <v>31471</v>
      </c>
      <c r="AY33" s="206">
        <v>37765.199999999997</v>
      </c>
      <c r="AZ33" s="206" t="s">
        <v>531</v>
      </c>
      <c r="BA33" s="206" t="s">
        <v>527</v>
      </c>
      <c r="BB33" s="206" t="s">
        <v>558</v>
      </c>
      <c r="BC33" s="206" t="s">
        <v>560</v>
      </c>
      <c r="BD33" s="206" t="str">
        <f t="shared" si="50"/>
        <v>ООО "Остерон", ТМЦ, Поставка линейно-регулировочных трансформаторов, договор № ПД-19-00437 от 04.02.2020</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M_00.0003.000003</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575</v>
      </c>
    </row>
    <row r="22" spans="1:2" x14ac:dyDescent="0.25">
      <c r="A22" s="153" t="s">
        <v>305</v>
      </c>
      <c r="B22" s="153" t="s">
        <v>580</v>
      </c>
    </row>
    <row r="23" spans="1:2" x14ac:dyDescent="0.25">
      <c r="A23" s="153" t="s">
        <v>287</v>
      </c>
      <c r="B23" s="153" t="s">
        <v>563</v>
      </c>
    </row>
    <row r="24" spans="1:2" x14ac:dyDescent="0.25">
      <c r="A24" s="153" t="s">
        <v>306</v>
      </c>
      <c r="B24" s="153" t="s">
        <v>424</v>
      </c>
    </row>
    <row r="25" spans="1:2" x14ac:dyDescent="0.25">
      <c r="A25" s="154" t="s">
        <v>307</v>
      </c>
      <c r="B25" s="171">
        <v>46019</v>
      </c>
    </row>
    <row r="26" spans="1:2" x14ac:dyDescent="0.25">
      <c r="A26" s="154" t="s">
        <v>308</v>
      </c>
      <c r="B26" s="156" t="s">
        <v>579</v>
      </c>
    </row>
    <row r="27" spans="1:2" x14ac:dyDescent="0.25">
      <c r="A27" s="156" t="str">
        <f>CONCATENATE("Стоимость проекта в прогнозных ценах, млн. руб. с НДС")</f>
        <v>Стоимость проекта в прогнозных ценах, млн. руб. с НДС</v>
      </c>
      <c r="B27" s="167">
        <v>105.79415666340519</v>
      </c>
    </row>
    <row r="28" spans="1:2" ht="93.75" customHeight="1" x14ac:dyDescent="0.25">
      <c r="A28" s="155" t="s">
        <v>309</v>
      </c>
      <c r="B28" s="158" t="s">
        <v>564</v>
      </c>
    </row>
    <row r="29" spans="1:2" ht="28.5" x14ac:dyDescent="0.25">
      <c r="A29" s="156" t="s">
        <v>310</v>
      </c>
      <c r="B29" s="167">
        <f>'7. Паспорт отчет о закупке'!$AB$26*1.2/1000</f>
        <v>106.41926609999999</v>
      </c>
    </row>
    <row r="30" spans="1:2" ht="28.5" x14ac:dyDescent="0.25">
      <c r="A30" s="156" t="s">
        <v>311</v>
      </c>
      <c r="B30" s="167">
        <f>'7. Паспорт отчет о закупке'!$AD$26/1000</f>
        <v>100.43693685999999</v>
      </c>
    </row>
    <row r="31" spans="1:2" x14ac:dyDescent="0.25">
      <c r="A31" s="155" t="s">
        <v>312</v>
      </c>
      <c r="B31" s="157"/>
    </row>
    <row r="32" spans="1:2" ht="28.5" x14ac:dyDescent="0.25">
      <c r="A32" s="156" t="s">
        <v>313</v>
      </c>
      <c r="B32" s="167">
        <f>SUM(SUMIF(B33,"&gt;0",B33),SUMIF(B37,"&gt;0",B37),SUMIF(B41,"&gt;0",B41),SUMIF(B45,"&gt;0",B45),SUMIF(B49,"&gt;0",B49),SUMIF(B53,"&gt;0",B53))</f>
        <v>55.618518460000004</v>
      </c>
    </row>
    <row r="33" spans="1:2" ht="30" x14ac:dyDescent="0.25">
      <c r="A33" s="164" t="s">
        <v>432</v>
      </c>
      <c r="B33" s="157">
        <f>IFERROR(IF(VLOOKUP(1,'7. Паспорт отчет о закупке'!$A$27:$CD$86,52,0)="ИП",VLOOKUP(1,'7. Паспорт отчет о закупке'!$A$27:$CD$86,30,0)/1000,"нд"),"нд")</f>
        <v>38.5184997</v>
      </c>
    </row>
    <row r="34" spans="1:2" x14ac:dyDescent="0.25">
      <c r="A34" s="164" t="s">
        <v>314</v>
      </c>
      <c r="B34" s="157">
        <f>IF(B33="нд","нд",$B33/$B$27*100)</f>
        <v>36.408910392424133</v>
      </c>
    </row>
    <row r="35" spans="1:2" x14ac:dyDescent="0.25">
      <c r="A35" s="164" t="s">
        <v>315</v>
      </c>
      <c r="B35" s="157">
        <f>IF(VLOOKUP(1,'7. Паспорт отчет о закупке'!$A$27:$CD$86,52,0)="ИП",VLOOKUP(1,'7. Паспорт отчет о закупке'!$A$27:$CD$86,51,0)/1000,"нд")</f>
        <v>39.02351762</v>
      </c>
    </row>
    <row r="36" spans="1:2" x14ac:dyDescent="0.25">
      <c r="A36" s="164" t="s">
        <v>436</v>
      </c>
      <c r="B36" s="157">
        <f>IF(VLOOKUP(1,'7. Паспорт отчет о закупке'!$A$27:$CD$86,52,0)="ИП",VLOOKUP(1,'7. Паспорт отчет о закупке'!$A$27:$CD$86,50,0)/1000,"нд")</f>
        <v>32.51959802999999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0</v>
      </c>
    </row>
    <row r="44" spans="1:2" x14ac:dyDescent="0.25">
      <c r="A44" s="164" t="s">
        <v>436</v>
      </c>
      <c r="B44" s="157">
        <f>IF(VLOOKUP(3,'7. Паспорт отчет о закупке'!$A$27:$CD$86,52,0)="ИП",VLOOKUP(3,'7. Паспорт отчет о закупке'!$A$27:$CD$86,50,0)/1000,"нд")</f>
        <v>0</v>
      </c>
    </row>
    <row r="45" spans="1:2" ht="30" x14ac:dyDescent="0.25">
      <c r="A45" s="164" t="s">
        <v>432</v>
      </c>
      <c r="B45" s="157">
        <f>IF(VLOOKUP(4,'7. Паспорт отчет о закупке'!$A$27:$CD$86,52,0)="ИП",VLOOKUP(4,'7. Паспорт отчет о закупке'!$A$27:$CD$86,30,0)/1000,"нд")</f>
        <v>13.897110000000001</v>
      </c>
    </row>
    <row r="46" spans="1:2" x14ac:dyDescent="0.25">
      <c r="A46" s="164" t="s">
        <v>314</v>
      </c>
      <c r="B46" s="157">
        <f>IF(B45="нд","нд",$B45/$B$27*100)</f>
        <v>13.135990151341781</v>
      </c>
    </row>
    <row r="47" spans="1:2" x14ac:dyDescent="0.25">
      <c r="A47" s="164" t="s">
        <v>315</v>
      </c>
      <c r="B47" s="157">
        <f>IF(VLOOKUP(4,'7. Паспорт отчет о закупке'!$A$27:$CD$86,52,0)="ИП",VLOOKUP(4,'7. Паспорт отчет о закупке'!$A$27:$CD$86,51,0)/1000,"нд")</f>
        <v>0</v>
      </c>
    </row>
    <row r="48" spans="1:2" x14ac:dyDescent="0.25">
      <c r="A48" s="164" t="s">
        <v>436</v>
      </c>
      <c r="B48" s="157">
        <f>IF(VLOOKUP(4,'7. Паспорт отчет о закупке'!$A$27:$CD$86,52,0)="ИП",VLOOKUP(4,'7. Паспорт отчет о закупке'!$A$27:$CD$86,50,0)/1000,"нд")</f>
        <v>4.3622559899999995</v>
      </c>
    </row>
    <row r="49" spans="1:2" ht="30" x14ac:dyDescent="0.25">
      <c r="A49" s="164" t="s">
        <v>432</v>
      </c>
      <c r="B49" s="157" t="e">
        <f>IF(VLOOKUP(5,'7. Паспорт отчет о закупке'!$A$27:$CD$86,52,0)="ИП",VLOOKUP(5,'7. Паспорт отчет о закупке'!$A$27:$CD$86,30,0)/1000,"нд")</f>
        <v>#VALUE!</v>
      </c>
    </row>
    <row r="50" spans="1:2" x14ac:dyDescent="0.25">
      <c r="A50" s="164" t="s">
        <v>314</v>
      </c>
      <c r="B50" s="157" t="e">
        <f>IF(B49="нд","нд",$B49/$B$27*100)</f>
        <v>#VALUE!</v>
      </c>
    </row>
    <row r="51" spans="1:2" x14ac:dyDescent="0.25">
      <c r="A51" s="164" t="s">
        <v>315</v>
      </c>
      <c r="B51" s="157">
        <f>IF(VLOOKUP(5,'7. Паспорт отчет о закупке'!$A$27:$CD$86,52,0)="ИП",VLOOKUP(5,'7. Паспорт отчет о закупке'!$A$27:$CD$86,51,0)/1000,"нд")</f>
        <v>0</v>
      </c>
    </row>
    <row r="52" spans="1:2" x14ac:dyDescent="0.25">
      <c r="A52" s="164" t="s">
        <v>436</v>
      </c>
      <c r="B52" s="157">
        <f>IF(VLOOKUP(5,'7. Паспорт отчет о закупке'!$A$27:$CD$86,52,0)="ИП",VLOOKUP(5,'7. Паспорт отчет о закупке'!$A$27:$CD$86,50,0)/1000,"нд")</f>
        <v>0</v>
      </c>
    </row>
    <row r="53" spans="1:2" ht="30" x14ac:dyDescent="0.25">
      <c r="A53" s="164" t="s">
        <v>432</v>
      </c>
      <c r="B53" s="157">
        <f>IF(VLOOKUP(6,'7. Паспорт отчет о закупке'!$A$27:$CD$86,52,0)="ИП",VLOOKUP(6,'7. Паспорт отчет о закупке'!$A$27:$CD$86,30,0)/1000,"нд")</f>
        <v>3.2029087599999997</v>
      </c>
    </row>
    <row r="54" spans="1:2" x14ac:dyDescent="0.25">
      <c r="A54" s="164" t="s">
        <v>314</v>
      </c>
      <c r="B54" s="157">
        <f>IF(B53="нд","нд",$B53/$B$27*100)</f>
        <v>3.0274911781662741</v>
      </c>
    </row>
    <row r="55" spans="1:2" x14ac:dyDescent="0.25">
      <c r="A55" s="164" t="s">
        <v>315</v>
      </c>
      <c r="B55" s="157">
        <f>IF(VLOOKUP(6,'7. Паспорт отчет о закупке'!$A$27:$CD$86,52,0)="ИП",VLOOKUP(6,'7. Паспорт отчет о закупке'!$A$27:$CD$86,51,0)/1000,"нд")</f>
        <v>3.2029087599999997</v>
      </c>
    </row>
    <row r="56" spans="1:2" x14ac:dyDescent="0.25">
      <c r="A56" s="164" t="s">
        <v>436</v>
      </c>
      <c r="B56" s="157">
        <f>IF(VLOOKUP(6,'7. Паспорт отчет о закупке'!$A$27:$CD$86,52,0)="ИП",VLOOKUP(6,'7. Паспорт отчет о закупке'!$A$27:$CD$86,50,0)/1000,"нд")</f>
        <v>2.6690906300000004</v>
      </c>
    </row>
    <row r="57" spans="1:2" ht="28.5" x14ac:dyDescent="0.25">
      <c r="A57" s="165" t="s">
        <v>316</v>
      </c>
      <c r="B57" s="167">
        <f>SUM(SUMIF(B58,"&gt;0",B58),SUMIF(B62,"&gt;0",B62),SUMIF(B66,"&gt;0",B66),SUMIF(B70,"&gt;0",B70),SUMIF(B74,"&gt;0",B74))</f>
        <v>7.0532183999999996</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7.0532183999999996</v>
      </c>
    </row>
    <row r="63" spans="1:2" x14ac:dyDescent="0.25">
      <c r="A63" s="164" t="s">
        <v>314</v>
      </c>
      <c r="B63" s="157">
        <f>IF(B62="нд","нд",$B62/$B$27*100)</f>
        <v>6.6669262485266803</v>
      </c>
    </row>
    <row r="64" spans="1:2" x14ac:dyDescent="0.25">
      <c r="A64" s="164" t="s">
        <v>315</v>
      </c>
      <c r="B64" s="157">
        <f>IF(VLOOKUP(2,'7. Паспорт отчет о закупке'!$A$27:$CD$86,52,0)="ПД",VLOOKUP(2,'7. Паспорт отчет о закупке'!$A$27:$CD$86,51,0)/1000,"нд")</f>
        <v>7.0532183999999996</v>
      </c>
    </row>
    <row r="65" spans="1:2" x14ac:dyDescent="0.25">
      <c r="A65" s="164" t="s">
        <v>436</v>
      </c>
      <c r="B65" s="157">
        <f>IF(VLOOKUP(2,'7. Паспорт отчет о закупке'!$A$27:$CD$86,52,0)="ПД",VLOOKUP(2,'7. Паспорт отчет о закупке'!$A$27:$CD$86,50,0)/1000,"нд")</f>
        <v>5.8776820000000001</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49.544900543765912</v>
      </c>
      <c r="C85" s="188"/>
      <c r="D85" s="189"/>
      <c r="E85" s="188"/>
      <c r="F85" s="188"/>
      <c r="G85" s="188"/>
    </row>
    <row r="86" spans="1:7" x14ac:dyDescent="0.25">
      <c r="A86" s="159" t="s">
        <v>320</v>
      </c>
      <c r="B86" s="162">
        <f>SUMIF('7. Паспорт отчет о закупке'!$BA$27:$BA$86,"ТМЦ",'7. Паспорт отчет о закупке'!$AD$27:$AD$86)/1000/$B$27*100</f>
        <v>42.363793817643753</v>
      </c>
      <c r="C86" s="188"/>
      <c r="D86" s="189"/>
      <c r="E86" s="188"/>
      <c r="F86" s="188"/>
      <c r="G86" s="188"/>
    </row>
    <row r="87" spans="1:7" x14ac:dyDescent="0.25">
      <c r="A87" s="159" t="s">
        <v>321</v>
      </c>
      <c r="B87" s="162">
        <f>SUMIF('7. Паспорт отчет о закупке'!$BA$27:$BA$86,"ПИР",'7. Паспорт отчет о закупке'!$AD$27:$AD$86)/1000/$B$27*100</f>
        <v>3.0274911781662741</v>
      </c>
      <c r="C87" s="188"/>
      <c r="D87" s="189"/>
      <c r="E87" s="188"/>
      <c r="F87" s="188"/>
      <c r="G87" s="188"/>
    </row>
    <row r="88" spans="1:7" ht="30" x14ac:dyDescent="0.25">
      <c r="A88" s="154" t="s">
        <v>438</v>
      </c>
      <c r="B88" s="167">
        <v>19.335818059482584</v>
      </c>
      <c r="C88" s="188"/>
      <c r="D88" s="188"/>
      <c r="E88" s="188"/>
      <c r="F88" s="188"/>
      <c r="G88" s="188"/>
    </row>
    <row r="89" spans="1:7" x14ac:dyDescent="0.25">
      <c r="A89" s="154" t="s">
        <v>322</v>
      </c>
      <c r="B89" s="167">
        <f>'6.2. Паспорт фин осв ввод'!D24-'6.2. Паспорт фин осв ввод'!E24</f>
        <v>88.490108332819588</v>
      </c>
    </row>
    <row r="90" spans="1:7" x14ac:dyDescent="0.25">
      <c r="A90" s="154" t="s">
        <v>435</v>
      </c>
      <c r="B90" s="167">
        <f>IFERROR(SUM(B91*1.2/$B$27*100),0)</f>
        <v>84.453015442303155</v>
      </c>
    </row>
    <row r="91" spans="1:7" x14ac:dyDescent="0.25">
      <c r="A91" s="154" t="s">
        <v>440</v>
      </c>
      <c r="B91" s="167">
        <f>'6.2. Паспорт фин осв ввод'!D34-'6.2. Паспорт фин осв ввод'!E34</f>
        <v>74.455296219999994</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договор № ИП-23-00029 от 28.02.2023
ОБЩЕСТВО С ОГРАНИЧЕННОЙ ОТВЕТСТВЕННОСТЬЮ "ЭКРА-СИБИРЬ", ТМЦ, 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 договор № ПД-24-00190 от 10.09.2024
-, СМР, 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 договор № Закупочная процедура признана несостоявшейся
ОБЩЕСТВО С ОГРАНИЧЕННОЙ ОТВЕТСТВЕННОСТЬЮ "ВЕЛЛЭНЕРДЖИ", СМР, 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 договор № ИП-25-00175 от 14.05.2025
-, СМР, Выполнение строительно-монтажных и пуско-наладочных работ по проекту  "Установка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 (2 Этап), договор № Закупочная процедура идет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ИП-22-00125 от 19.05.2022
ООО "Остерон", ТМЦ, Поставка линейно-регулировочных трансформаторов, договор № ПД-19-00437 от 04.02.2020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M_00.0003.000003</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M_00.0003.000003</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575</v>
      </c>
      <c r="C25" s="150" t="s">
        <v>575</v>
      </c>
      <c r="D25" s="150" t="s">
        <v>581</v>
      </c>
      <c r="E25" s="150" t="s">
        <v>582</v>
      </c>
      <c r="F25" s="150" t="s">
        <v>424</v>
      </c>
      <c r="G25" s="150" t="s">
        <v>583</v>
      </c>
      <c r="H25" s="150" t="s">
        <v>424</v>
      </c>
      <c r="I25" s="150">
        <v>1983</v>
      </c>
      <c r="J25" s="150" t="s">
        <v>424</v>
      </c>
      <c r="K25" s="150">
        <v>1997</v>
      </c>
      <c r="L25" s="150" t="s">
        <v>584</v>
      </c>
      <c r="M25" s="150" t="s">
        <v>424</v>
      </c>
      <c r="N25" s="150">
        <v>16</v>
      </c>
      <c r="O25" s="150" t="s">
        <v>424</v>
      </c>
      <c r="P25" s="235" t="s">
        <v>424</v>
      </c>
      <c r="Q25" s="150" t="s">
        <v>424</v>
      </c>
      <c r="R25" s="150" t="s">
        <v>424</v>
      </c>
      <c r="S25" s="150" t="s">
        <v>424</v>
      </c>
      <c r="T25" s="150" t="s">
        <v>424</v>
      </c>
    </row>
    <row r="26" spans="1:20" s="151" customFormat="1" ht="112.5" customHeight="1" x14ac:dyDescent="0.25">
      <c r="A26" s="150">
        <v>2</v>
      </c>
      <c r="B26" s="150" t="s">
        <v>575</v>
      </c>
      <c r="C26" s="150" t="s">
        <v>575</v>
      </c>
      <c r="D26" s="150" t="s">
        <v>99</v>
      </c>
      <c r="E26" s="150" t="s">
        <v>585</v>
      </c>
      <c r="F26" s="150" t="s">
        <v>424</v>
      </c>
      <c r="G26" s="150" t="s">
        <v>586</v>
      </c>
      <c r="H26" s="150" t="s">
        <v>424</v>
      </c>
      <c r="I26" s="150">
        <v>1975</v>
      </c>
      <c r="J26" s="150" t="s">
        <v>424</v>
      </c>
      <c r="K26" s="150">
        <v>1975</v>
      </c>
      <c r="L26" s="150" t="s">
        <v>69</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575</v>
      </c>
      <c r="C27" s="150" t="s">
        <v>575</v>
      </c>
      <c r="D27" s="150" t="s">
        <v>99</v>
      </c>
      <c r="E27" s="150" t="s">
        <v>585</v>
      </c>
      <c r="F27" s="150" t="s">
        <v>424</v>
      </c>
      <c r="G27" s="150" t="s">
        <v>587</v>
      </c>
      <c r="H27" s="150" t="s">
        <v>424</v>
      </c>
      <c r="I27" s="150">
        <v>1975</v>
      </c>
      <c r="J27" s="150" t="s">
        <v>424</v>
      </c>
      <c r="K27" s="150">
        <v>1975</v>
      </c>
      <c r="L27" s="150" t="s">
        <v>69</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M_00.0003.000003</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M_00.0003.000003</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573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575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576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577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578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44640</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M_00.0003.000003</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M_00.0003.000003</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386</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M_00.0003.000003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6"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M_00.0003.000003</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44640</v>
      </c>
      <c r="D25" s="285">
        <v>45654</v>
      </c>
      <c r="E25" s="285">
        <v>44640</v>
      </c>
      <c r="F25" s="285">
        <v>45654</v>
      </c>
      <c r="G25" s="286">
        <v>1</v>
      </c>
      <c r="H25" s="286">
        <v>0</v>
      </c>
      <c r="I25" s="280" t="s">
        <v>565</v>
      </c>
      <c r="J25" s="280" t="s">
        <v>424</v>
      </c>
      <c r="L25" s="246"/>
      <c r="N25" s="238" t="str">
        <f>CONCATENATE($A$12,A25)</f>
        <v>M_00.0003.0000031</v>
      </c>
    </row>
    <row r="26" spans="1:14" x14ac:dyDescent="0.25">
      <c r="A26" s="281" t="s">
        <v>450</v>
      </c>
      <c r="B26" s="281" t="s">
        <v>451</v>
      </c>
      <c r="C26" s="285" t="s">
        <v>424</v>
      </c>
      <c r="D26" s="285" t="s">
        <v>424</v>
      </c>
      <c r="E26" s="285" t="s">
        <v>424</v>
      </c>
      <c r="F26" s="285" t="s">
        <v>424</v>
      </c>
      <c r="G26" s="286" t="s">
        <v>424</v>
      </c>
      <c r="H26" s="286" t="s">
        <v>424</v>
      </c>
      <c r="I26" s="280" t="s">
        <v>518</v>
      </c>
      <c r="J26" s="281" t="s">
        <v>424</v>
      </c>
      <c r="N26" s="238" t="str">
        <f t="shared" ref="N26:N54" si="0">CONCATENATE($A$12,A26)</f>
        <v>M_00.0003.0000031.1.</v>
      </c>
    </row>
    <row r="27" spans="1:14" x14ac:dyDescent="0.25">
      <c r="A27" s="281" t="s">
        <v>452</v>
      </c>
      <c r="B27" s="281" t="s">
        <v>453</v>
      </c>
      <c r="C27" s="285" t="s">
        <v>424</v>
      </c>
      <c r="D27" s="285" t="s">
        <v>424</v>
      </c>
      <c r="E27" s="285" t="s">
        <v>424</v>
      </c>
      <c r="F27" s="285" t="s">
        <v>424</v>
      </c>
      <c r="G27" s="286" t="s">
        <v>424</v>
      </c>
      <c r="H27" s="286" t="s">
        <v>424</v>
      </c>
      <c r="I27" s="280" t="s">
        <v>518</v>
      </c>
      <c r="J27" s="281" t="s">
        <v>424</v>
      </c>
      <c r="N27" s="238" t="str">
        <f t="shared" si="0"/>
        <v>M_00.0003.0000031.2.</v>
      </c>
    </row>
    <row r="28" spans="1:14" ht="31.5" x14ac:dyDescent="0.25">
      <c r="A28" s="281" t="s">
        <v>454</v>
      </c>
      <c r="B28" s="281" t="s">
        <v>455</v>
      </c>
      <c r="C28" s="285" t="s">
        <v>424</v>
      </c>
      <c r="D28" s="285" t="s">
        <v>424</v>
      </c>
      <c r="E28" s="285" t="s">
        <v>424</v>
      </c>
      <c r="F28" s="285" t="s">
        <v>424</v>
      </c>
      <c r="G28" s="286" t="s">
        <v>424</v>
      </c>
      <c r="H28" s="286" t="s">
        <v>424</v>
      </c>
      <c r="I28" s="280" t="s">
        <v>518</v>
      </c>
      <c r="J28" s="281" t="s">
        <v>424</v>
      </c>
      <c r="N28" s="238" t="str">
        <f t="shared" si="0"/>
        <v>M_00.0003.0000031.2.1.</v>
      </c>
    </row>
    <row r="29" spans="1:14" x14ac:dyDescent="0.25">
      <c r="A29" s="281" t="s">
        <v>456</v>
      </c>
      <c r="B29" s="281" t="s">
        <v>457</v>
      </c>
      <c r="C29" s="285" t="s">
        <v>424</v>
      </c>
      <c r="D29" s="285" t="s">
        <v>424</v>
      </c>
      <c r="E29" s="285" t="s">
        <v>424</v>
      </c>
      <c r="F29" s="285" t="s">
        <v>424</v>
      </c>
      <c r="G29" s="286" t="s">
        <v>424</v>
      </c>
      <c r="H29" s="286" t="s">
        <v>424</v>
      </c>
      <c r="I29" s="280" t="s">
        <v>518</v>
      </c>
      <c r="J29" s="281" t="s">
        <v>424</v>
      </c>
      <c r="N29" s="238" t="str">
        <f t="shared" si="0"/>
        <v>M_00.0003.0000031.3.</v>
      </c>
    </row>
    <row r="30" spans="1:14" x14ac:dyDescent="0.25">
      <c r="A30" s="281" t="s">
        <v>458</v>
      </c>
      <c r="B30" s="281" t="s">
        <v>459</v>
      </c>
      <c r="C30" s="285" t="s">
        <v>424</v>
      </c>
      <c r="D30" s="285" t="s">
        <v>424</v>
      </c>
      <c r="E30" s="285" t="s">
        <v>424</v>
      </c>
      <c r="F30" s="285" t="s">
        <v>424</v>
      </c>
      <c r="G30" s="286" t="s">
        <v>424</v>
      </c>
      <c r="H30" s="286" t="s">
        <v>424</v>
      </c>
      <c r="I30" s="280" t="s">
        <v>518</v>
      </c>
      <c r="J30" s="281" t="s">
        <v>424</v>
      </c>
      <c r="N30" s="238" t="str">
        <f t="shared" si="0"/>
        <v>M_00.0003.0000031.4.</v>
      </c>
    </row>
    <row r="31" spans="1:14" x14ac:dyDescent="0.25">
      <c r="A31" s="281" t="s">
        <v>460</v>
      </c>
      <c r="B31" s="281" t="s">
        <v>461</v>
      </c>
      <c r="C31" s="285">
        <v>44640</v>
      </c>
      <c r="D31" s="285">
        <v>45274</v>
      </c>
      <c r="E31" s="285">
        <v>44640</v>
      </c>
      <c r="F31" s="285">
        <v>45274</v>
      </c>
      <c r="G31" s="286">
        <v>1</v>
      </c>
      <c r="H31" s="286" t="s">
        <v>591</v>
      </c>
      <c r="I31" s="280" t="s">
        <v>518</v>
      </c>
      <c r="J31" s="281" t="s">
        <v>424</v>
      </c>
      <c r="N31" s="238" t="str">
        <f t="shared" si="0"/>
        <v>M_00.0003.0000031.5.</v>
      </c>
    </row>
    <row r="32" spans="1:14" x14ac:dyDescent="0.25">
      <c r="A32" s="281" t="s">
        <v>462</v>
      </c>
      <c r="B32" s="281" t="s">
        <v>463</v>
      </c>
      <c r="C32" s="285">
        <v>44760</v>
      </c>
      <c r="D32" s="285">
        <v>45625</v>
      </c>
      <c r="E32" s="285">
        <v>44760</v>
      </c>
      <c r="F32" s="285">
        <v>45625</v>
      </c>
      <c r="G32" s="286">
        <v>1</v>
      </c>
      <c r="H32" s="286" t="s">
        <v>591</v>
      </c>
      <c r="I32" s="280" t="s">
        <v>518</v>
      </c>
      <c r="J32" s="281" t="s">
        <v>424</v>
      </c>
      <c r="N32" s="238" t="str">
        <f t="shared" si="0"/>
        <v>M_00.0003.0000031.6.</v>
      </c>
    </row>
    <row r="33" spans="1:14" ht="31.5" x14ac:dyDescent="0.25">
      <c r="A33" s="281" t="s">
        <v>464</v>
      </c>
      <c r="B33" s="281" t="s">
        <v>465</v>
      </c>
      <c r="C33" s="285" t="s">
        <v>424</v>
      </c>
      <c r="D33" s="285" t="s">
        <v>424</v>
      </c>
      <c r="E33" s="285" t="s">
        <v>424</v>
      </c>
      <c r="F33" s="285" t="s">
        <v>424</v>
      </c>
      <c r="G33" s="286" t="s">
        <v>424</v>
      </c>
      <c r="H33" s="286" t="s">
        <v>424</v>
      </c>
      <c r="I33" s="280" t="s">
        <v>518</v>
      </c>
      <c r="J33" s="281" t="s">
        <v>424</v>
      </c>
      <c r="N33" s="238" t="str">
        <f t="shared" si="0"/>
        <v>M_00.0003.0000031.7.</v>
      </c>
    </row>
    <row r="34" spans="1:14" ht="31.5" x14ac:dyDescent="0.25">
      <c r="A34" s="281" t="s">
        <v>466</v>
      </c>
      <c r="B34" s="281" t="s">
        <v>467</v>
      </c>
      <c r="C34" s="285" t="s">
        <v>424</v>
      </c>
      <c r="D34" s="285" t="s">
        <v>424</v>
      </c>
      <c r="E34" s="285" t="s">
        <v>424</v>
      </c>
      <c r="F34" s="285" t="s">
        <v>424</v>
      </c>
      <c r="G34" s="286" t="s">
        <v>424</v>
      </c>
      <c r="H34" s="286" t="s">
        <v>424</v>
      </c>
      <c r="I34" s="280" t="s">
        <v>518</v>
      </c>
      <c r="J34" s="281" t="s">
        <v>424</v>
      </c>
      <c r="N34" s="238" t="str">
        <f t="shared" si="0"/>
        <v>M_00.0003.0000031.8.</v>
      </c>
    </row>
    <row r="35" spans="1:14" x14ac:dyDescent="0.25">
      <c r="A35" s="281" t="s">
        <v>468</v>
      </c>
      <c r="B35" s="281" t="s">
        <v>469</v>
      </c>
      <c r="C35" s="285">
        <v>44867</v>
      </c>
      <c r="D35" s="285">
        <v>45654</v>
      </c>
      <c r="E35" s="285">
        <v>44867</v>
      </c>
      <c r="F35" s="285">
        <v>45654</v>
      </c>
      <c r="G35" s="286">
        <v>1</v>
      </c>
      <c r="H35" s="286" t="s">
        <v>591</v>
      </c>
      <c r="I35" s="280" t="s">
        <v>518</v>
      </c>
      <c r="J35" s="281" t="s">
        <v>424</v>
      </c>
      <c r="N35" s="238" t="str">
        <f t="shared" si="0"/>
        <v>M_00.0003.0000031.9.</v>
      </c>
    </row>
    <row r="36" spans="1:14" x14ac:dyDescent="0.25">
      <c r="A36" s="281" t="s">
        <v>470</v>
      </c>
      <c r="B36" s="281" t="s">
        <v>471</v>
      </c>
      <c r="C36" s="285" t="s">
        <v>424</v>
      </c>
      <c r="D36" s="285" t="s">
        <v>424</v>
      </c>
      <c r="E36" s="285" t="s">
        <v>424</v>
      </c>
      <c r="F36" s="285" t="s">
        <v>424</v>
      </c>
      <c r="G36" s="286" t="s">
        <v>424</v>
      </c>
      <c r="H36" s="286" t="s">
        <v>424</v>
      </c>
      <c r="I36" s="280" t="s">
        <v>518</v>
      </c>
      <c r="J36" s="281" t="s">
        <v>424</v>
      </c>
      <c r="N36" s="238" t="str">
        <f t="shared" si="0"/>
        <v>M_00.0003.0000031.10.</v>
      </c>
    </row>
    <row r="37" spans="1:14" x14ac:dyDescent="0.25">
      <c r="A37" s="281" t="s">
        <v>472</v>
      </c>
      <c r="B37" s="281" t="s">
        <v>473</v>
      </c>
      <c r="C37" s="285">
        <v>44885</v>
      </c>
      <c r="D37" s="285">
        <v>45625</v>
      </c>
      <c r="E37" s="285">
        <v>44885</v>
      </c>
      <c r="F37" s="285">
        <v>45625</v>
      </c>
      <c r="G37" s="286">
        <v>1</v>
      </c>
      <c r="H37" s="286" t="s">
        <v>591</v>
      </c>
      <c r="I37" s="280" t="s">
        <v>518</v>
      </c>
      <c r="J37" s="281" t="s">
        <v>424</v>
      </c>
      <c r="N37" s="238" t="str">
        <f t="shared" si="0"/>
        <v>M_00.0003.0000031.11.</v>
      </c>
    </row>
    <row r="38" spans="1:14" x14ac:dyDescent="0.25">
      <c r="A38" s="280">
        <v>2</v>
      </c>
      <c r="B38" s="280" t="s">
        <v>509</v>
      </c>
      <c r="C38" s="285">
        <v>43829</v>
      </c>
      <c r="D38" s="285">
        <v>45791</v>
      </c>
      <c r="E38" s="285">
        <v>43829</v>
      </c>
      <c r="F38" s="285">
        <v>45791</v>
      </c>
      <c r="G38" s="286">
        <v>1</v>
      </c>
      <c r="H38" s="286">
        <v>0.5</v>
      </c>
      <c r="I38" s="280" t="s">
        <v>565</v>
      </c>
      <c r="J38" s="280" t="s">
        <v>424</v>
      </c>
      <c r="N38" s="238" t="str">
        <f t="shared" si="0"/>
        <v>M_00.0003.0000032</v>
      </c>
    </row>
    <row r="39" spans="1:14" ht="173.25" customHeight="1" x14ac:dyDescent="0.25">
      <c r="A39" s="282" t="s">
        <v>474</v>
      </c>
      <c r="B39" s="281" t="s">
        <v>475</v>
      </c>
      <c r="C39" s="285">
        <v>44925</v>
      </c>
      <c r="D39" s="285">
        <v>45791</v>
      </c>
      <c r="E39" s="285">
        <v>44925</v>
      </c>
      <c r="F39" s="285">
        <v>45791</v>
      </c>
      <c r="G39" s="286">
        <v>1</v>
      </c>
      <c r="H39" s="286">
        <v>1</v>
      </c>
      <c r="I39" s="280" t="s">
        <v>566</v>
      </c>
      <c r="J39" s="281" t="s">
        <v>424</v>
      </c>
      <c r="N39" s="238" t="str">
        <f t="shared" si="0"/>
        <v>M_00.0003.0000032.1.</v>
      </c>
    </row>
    <row r="40" spans="1:14" x14ac:dyDescent="0.25">
      <c r="A40" s="282" t="s">
        <v>476</v>
      </c>
      <c r="B40" s="281" t="s">
        <v>477</v>
      </c>
      <c r="C40" s="285">
        <v>43829</v>
      </c>
      <c r="D40" s="285">
        <v>45545</v>
      </c>
      <c r="E40" s="285">
        <v>43829</v>
      </c>
      <c r="F40" s="285">
        <v>45545</v>
      </c>
      <c r="G40" s="286">
        <v>1</v>
      </c>
      <c r="H40" s="286" t="s">
        <v>591</v>
      </c>
      <c r="I40" s="280" t="s">
        <v>518</v>
      </c>
      <c r="J40" s="281" t="s">
        <v>424</v>
      </c>
      <c r="N40" s="238" t="str">
        <f t="shared" si="0"/>
        <v>M_00.0003.0000032.2.</v>
      </c>
    </row>
    <row r="41" spans="1:14" x14ac:dyDescent="0.25">
      <c r="A41" s="280">
        <v>3</v>
      </c>
      <c r="B41" s="280" t="s">
        <v>478</v>
      </c>
      <c r="C41" s="285">
        <v>43865</v>
      </c>
      <c r="D41" s="285">
        <v>46233</v>
      </c>
      <c r="E41" s="285">
        <v>43865</v>
      </c>
      <c r="F41" s="285">
        <v>45657</v>
      </c>
      <c r="G41" s="286">
        <v>0.88000000000000012</v>
      </c>
      <c r="H41" s="286">
        <v>0</v>
      </c>
      <c r="I41" s="280" t="s">
        <v>565</v>
      </c>
      <c r="J41" s="280" t="s">
        <v>424</v>
      </c>
      <c r="N41" s="238" t="str">
        <f t="shared" si="0"/>
        <v>M_00.0003.0000033</v>
      </c>
    </row>
    <row r="42" spans="1:14" ht="141.75" x14ac:dyDescent="0.25">
      <c r="A42" s="281" t="s">
        <v>479</v>
      </c>
      <c r="B42" s="281" t="s">
        <v>480</v>
      </c>
      <c r="C42" s="285">
        <v>45017</v>
      </c>
      <c r="D42" s="285">
        <v>46174</v>
      </c>
      <c r="E42" s="285">
        <v>45017</v>
      </c>
      <c r="F42" s="285" t="s">
        <v>424</v>
      </c>
      <c r="G42" s="286" t="s">
        <v>590</v>
      </c>
      <c r="H42" s="286" t="s">
        <v>591</v>
      </c>
      <c r="I42" s="280" t="s">
        <v>567</v>
      </c>
      <c r="J42" s="281" t="s">
        <v>424</v>
      </c>
      <c r="N42" s="238" t="str">
        <f t="shared" si="0"/>
        <v>M_00.0003.0000033.1.</v>
      </c>
    </row>
    <row r="43" spans="1:14" x14ac:dyDescent="0.25">
      <c r="A43" s="281" t="s">
        <v>481</v>
      </c>
      <c r="B43" s="281" t="s">
        <v>482</v>
      </c>
      <c r="C43" s="285">
        <v>43865</v>
      </c>
      <c r="D43" s="285">
        <v>45657</v>
      </c>
      <c r="E43" s="285">
        <v>43865</v>
      </c>
      <c r="F43" s="285">
        <v>45657</v>
      </c>
      <c r="G43" s="286">
        <v>1</v>
      </c>
      <c r="H43" s="286" t="s">
        <v>591</v>
      </c>
      <c r="I43" s="280" t="s">
        <v>518</v>
      </c>
      <c r="J43" s="281" t="s">
        <v>424</v>
      </c>
      <c r="N43" s="238" t="str">
        <f t="shared" si="0"/>
        <v>M_00.0003.0000033.2.</v>
      </c>
    </row>
    <row r="44" spans="1:14" ht="141.75" x14ac:dyDescent="0.25">
      <c r="A44" s="281" t="s">
        <v>483</v>
      </c>
      <c r="B44" s="281" t="s">
        <v>484</v>
      </c>
      <c r="C44" s="285">
        <v>45047</v>
      </c>
      <c r="D44" s="285">
        <v>46233</v>
      </c>
      <c r="E44" s="285">
        <v>45047</v>
      </c>
      <c r="F44" s="285" t="s">
        <v>424</v>
      </c>
      <c r="G44" s="286" t="s">
        <v>590</v>
      </c>
      <c r="H44" s="286" t="s">
        <v>591</v>
      </c>
      <c r="I44" s="280" t="s">
        <v>567</v>
      </c>
      <c r="J44" s="281" t="s">
        <v>424</v>
      </c>
      <c r="N44" s="238" t="str">
        <f t="shared" si="0"/>
        <v>M_00.0003.0000033.3.</v>
      </c>
    </row>
    <row r="45" spans="1:14" ht="31.5" x14ac:dyDescent="0.25">
      <c r="A45" s="281" t="s">
        <v>485</v>
      </c>
      <c r="B45" s="281" t="s">
        <v>486</v>
      </c>
      <c r="C45" s="285">
        <v>45110</v>
      </c>
      <c r="D45" s="285">
        <v>45152</v>
      </c>
      <c r="E45" s="285">
        <v>45110</v>
      </c>
      <c r="F45" s="285">
        <v>45152</v>
      </c>
      <c r="G45" s="286">
        <v>1</v>
      </c>
      <c r="H45" s="286" t="s">
        <v>591</v>
      </c>
      <c r="I45" s="280" t="s">
        <v>518</v>
      </c>
      <c r="J45" s="281" t="s">
        <v>424</v>
      </c>
      <c r="N45" s="238" t="str">
        <f t="shared" si="0"/>
        <v>M_00.0003.0000033.4.</v>
      </c>
    </row>
    <row r="46" spans="1:14" ht="63" x14ac:dyDescent="0.25">
      <c r="A46" s="281" t="s">
        <v>487</v>
      </c>
      <c r="B46" s="281" t="s">
        <v>488</v>
      </c>
      <c r="C46" s="285" t="s">
        <v>424</v>
      </c>
      <c r="D46" s="285" t="s">
        <v>424</v>
      </c>
      <c r="E46" s="285" t="s">
        <v>424</v>
      </c>
      <c r="F46" s="285" t="s">
        <v>424</v>
      </c>
      <c r="G46" s="286" t="s">
        <v>424</v>
      </c>
      <c r="H46" s="286" t="s">
        <v>424</v>
      </c>
      <c r="I46" s="280" t="s">
        <v>518</v>
      </c>
      <c r="J46" s="281" t="s">
        <v>424</v>
      </c>
      <c r="N46" s="238" t="str">
        <f t="shared" si="0"/>
        <v>M_00.0003.0000033.5.</v>
      </c>
    </row>
    <row r="47" spans="1:14" ht="141.75" x14ac:dyDescent="0.25">
      <c r="A47" s="281" t="s">
        <v>489</v>
      </c>
      <c r="B47" s="281" t="s">
        <v>490</v>
      </c>
      <c r="C47" s="285" t="s">
        <v>424</v>
      </c>
      <c r="D47" s="285" t="s">
        <v>424</v>
      </c>
      <c r="E47" s="285">
        <v>45147</v>
      </c>
      <c r="F47" s="285" t="s">
        <v>424</v>
      </c>
      <c r="G47" s="286" t="s">
        <v>590</v>
      </c>
      <c r="H47" s="286" t="s">
        <v>591</v>
      </c>
      <c r="I47" s="280" t="s">
        <v>567</v>
      </c>
      <c r="J47" s="281" t="s">
        <v>424</v>
      </c>
      <c r="N47" s="238" t="str">
        <f t="shared" si="0"/>
        <v>M_00.0003.0000033.6.</v>
      </c>
    </row>
    <row r="48" spans="1:14" x14ac:dyDescent="0.25">
      <c r="A48" s="280">
        <v>4</v>
      </c>
      <c r="B48" s="280" t="s">
        <v>491</v>
      </c>
      <c r="C48" s="285">
        <v>45200</v>
      </c>
      <c r="D48" s="285">
        <v>46019</v>
      </c>
      <c r="E48" s="285">
        <v>45200</v>
      </c>
      <c r="F48" s="285" t="s">
        <v>424</v>
      </c>
      <c r="G48" s="286">
        <v>0.8</v>
      </c>
      <c r="H48" s="286">
        <v>0</v>
      </c>
      <c r="I48" s="280" t="s">
        <v>565</v>
      </c>
      <c r="J48" s="280" t="s">
        <v>424</v>
      </c>
      <c r="N48" s="238" t="str">
        <f t="shared" si="0"/>
        <v>M_00.0003.0000034</v>
      </c>
    </row>
    <row r="49" spans="1:14" ht="141.75" x14ac:dyDescent="0.25">
      <c r="A49" s="281" t="s">
        <v>492</v>
      </c>
      <c r="B49" s="281" t="s">
        <v>493</v>
      </c>
      <c r="C49" s="285">
        <v>45237</v>
      </c>
      <c r="D49" s="285">
        <v>45992</v>
      </c>
      <c r="E49" s="285">
        <v>45237</v>
      </c>
      <c r="F49" s="285" t="s">
        <v>424</v>
      </c>
      <c r="G49" s="286" t="s">
        <v>590</v>
      </c>
      <c r="H49" s="286" t="s">
        <v>591</v>
      </c>
      <c r="I49" s="280" t="s">
        <v>567</v>
      </c>
      <c r="J49" s="281" t="s">
        <v>424</v>
      </c>
      <c r="N49" s="238" t="str">
        <f t="shared" si="0"/>
        <v>M_00.0003.0000034.1.</v>
      </c>
    </row>
    <row r="50" spans="1:14" ht="47.25" x14ac:dyDescent="0.25">
      <c r="A50" s="281" t="s">
        <v>494</v>
      </c>
      <c r="B50" s="281" t="s">
        <v>495</v>
      </c>
      <c r="C50" s="285" t="s">
        <v>424</v>
      </c>
      <c r="D50" s="285" t="s">
        <v>424</v>
      </c>
      <c r="E50" s="285" t="s">
        <v>424</v>
      </c>
      <c r="F50" s="285" t="s">
        <v>424</v>
      </c>
      <c r="G50" s="286" t="s">
        <v>424</v>
      </c>
      <c r="H50" s="286" t="s">
        <v>424</v>
      </c>
      <c r="I50" s="280" t="s">
        <v>518</v>
      </c>
      <c r="J50" s="281" t="s">
        <v>424</v>
      </c>
      <c r="N50" s="238" t="str">
        <f t="shared" si="0"/>
        <v>M_00.0003.0000034.2.</v>
      </c>
    </row>
    <row r="51" spans="1:14" ht="31.5" x14ac:dyDescent="0.25">
      <c r="A51" s="281" t="s">
        <v>496</v>
      </c>
      <c r="B51" s="281" t="s">
        <v>497</v>
      </c>
      <c r="C51" s="285" t="s">
        <v>424</v>
      </c>
      <c r="D51" s="285" t="s">
        <v>424</v>
      </c>
      <c r="E51" s="285" t="s">
        <v>424</v>
      </c>
      <c r="F51" s="285" t="s">
        <v>424</v>
      </c>
      <c r="G51" s="286" t="s">
        <v>424</v>
      </c>
      <c r="H51" s="286" t="s">
        <v>424</v>
      </c>
      <c r="I51" s="280" t="s">
        <v>518</v>
      </c>
      <c r="J51" s="281" t="s">
        <v>424</v>
      </c>
      <c r="N51" s="238" t="str">
        <f t="shared" si="0"/>
        <v>M_00.0003.0000034.3.</v>
      </c>
    </row>
    <row r="52" spans="1:14" ht="31.5" x14ac:dyDescent="0.25">
      <c r="A52" s="283" t="s">
        <v>498</v>
      </c>
      <c r="B52" s="281" t="s">
        <v>499</v>
      </c>
      <c r="C52" s="285" t="s">
        <v>424</v>
      </c>
      <c r="D52" s="285" t="s">
        <v>424</v>
      </c>
      <c r="E52" s="285" t="s">
        <v>424</v>
      </c>
      <c r="F52" s="285" t="s">
        <v>424</v>
      </c>
      <c r="G52" s="286" t="s">
        <v>424</v>
      </c>
      <c r="H52" s="286" t="s">
        <v>424</v>
      </c>
      <c r="I52" s="280" t="s">
        <v>518</v>
      </c>
      <c r="J52" s="281" t="s">
        <v>424</v>
      </c>
      <c r="N52" s="238" t="str">
        <f t="shared" si="0"/>
        <v>M_00.0003.0000034.4.</v>
      </c>
    </row>
    <row r="53" spans="1:14" ht="141.75" x14ac:dyDescent="0.25">
      <c r="A53" s="281" t="s">
        <v>500</v>
      </c>
      <c r="B53" s="284" t="s">
        <v>501</v>
      </c>
      <c r="C53" s="285">
        <v>45200</v>
      </c>
      <c r="D53" s="285">
        <v>46019</v>
      </c>
      <c r="E53" s="285">
        <v>45200</v>
      </c>
      <c r="F53" s="285" t="s">
        <v>424</v>
      </c>
      <c r="G53" s="286" t="s">
        <v>590</v>
      </c>
      <c r="H53" s="286" t="s">
        <v>591</v>
      </c>
      <c r="I53" s="280" t="s">
        <v>567</v>
      </c>
      <c r="J53" s="281" t="s">
        <v>424</v>
      </c>
      <c r="N53" s="238" t="str">
        <f t="shared" si="0"/>
        <v>M_00.0003.0000034.5.</v>
      </c>
    </row>
    <row r="54" spans="1:14" x14ac:dyDescent="0.25">
      <c r="A54" s="281" t="s">
        <v>502</v>
      </c>
      <c r="B54" s="281" t="s">
        <v>503</v>
      </c>
      <c r="C54" s="285" t="s">
        <v>424</v>
      </c>
      <c r="D54" s="285" t="s">
        <v>424</v>
      </c>
      <c r="E54" s="285" t="s">
        <v>424</v>
      </c>
      <c r="F54" s="285" t="s">
        <v>424</v>
      </c>
      <c r="G54" s="286" t="s">
        <v>424</v>
      </c>
      <c r="H54" s="286" t="s">
        <v>424</v>
      </c>
      <c r="I54" s="280" t="s">
        <v>518</v>
      </c>
      <c r="J54" s="281" t="s">
        <v>424</v>
      </c>
      <c r="N54" s="238" t="str">
        <f t="shared" si="0"/>
        <v>M_00.0003.0000034.6.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2025-11-11T08:08:32Z</dcterms:modified>
</cp:coreProperties>
</file>